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27975" windowHeight="12270" firstSheet="11" activeTab="11"/>
  </bookViews>
  <sheets>
    <sheet name="基本支出" sheetId="10" state="hidden" r:id="rId1"/>
    <sheet name="2025年绩效增量" sheetId="14" state="hidden" r:id="rId2"/>
    <sheet name="莘庄镇" sheetId="6" state="hidden" r:id="rId3"/>
    <sheet name="吴泾镇" sheetId="7" state="hidden" r:id="rId4"/>
    <sheet name="七宝镇" sheetId="4" state="hidden" r:id="rId5"/>
    <sheet name="浦江镇" sheetId="9" state="hidden" r:id="rId6"/>
    <sheet name="梅陇镇" sheetId="2" state="hidden" r:id="rId7"/>
    <sheet name="马桥镇" sheetId="5" state="hidden" r:id="rId8"/>
    <sheet name="华漕镇" sheetId="3" state="hidden" r:id="rId9"/>
    <sheet name="颛桥镇" sheetId="8" state="hidden" r:id="rId10"/>
    <sheet name="虹桥镇" sheetId="1" state="hidden" r:id="rId11"/>
    <sheet name="吴泾" sheetId="19" r:id="rId12"/>
    <sheet name="社区教育" sheetId="11" state="hidden" r:id="rId13"/>
    <sheet name="残疾就业保障调整" sheetId="13" state="hidden" r:id="rId14"/>
    <sheet name="2025年校舍维修尾款清算" sheetId="15" state="hidden" r:id="rId15"/>
    <sheet name="上划改上解项目各镇清算" sheetId="17" state="hidden" r:id="rId16"/>
    <sheet name="上划改上解项目清算明细" sheetId="18" state="hidden" r:id="rId17"/>
  </sheets>
  <externalReferences>
    <externalReference r:id="rId18"/>
  </externalReferences>
  <definedNames>
    <definedName name="_xlnm.Print_Area" localSheetId="14">'2025年校舍维修尾款清算'!$A$1:$J$9</definedName>
    <definedName name="_xlnm.Print_Area" localSheetId="13">残疾就业保障调整!$A$1:$F$5</definedName>
    <definedName name="_xlnm.Print_Area" localSheetId="0">基本支出!$A$1:$N$75</definedName>
    <definedName name="_xlnm.Print_Area" localSheetId="15">上划改上解项目各镇清算!$A$1:$G$4</definedName>
    <definedName name="_xlnm.Print_Area" localSheetId="16">上划改上解项目清算明细!$A$1:$Q$6</definedName>
    <definedName name="_xlnm.Print_Area" localSheetId="12">社区教育!$A$1:$F$5</definedName>
    <definedName name="_xlnm.Print_Area" localSheetId="2">莘庄镇!$A$1:$K$75</definedName>
    <definedName name="_xlnm.Print_Titles" localSheetId="14">'2025年校舍维修尾款清算'!$1:$3</definedName>
    <definedName name="_xlnm.Print_Titles" localSheetId="0">基本支出!$1:$4</definedName>
    <definedName name="_xlnm.Print_Titles" localSheetId="15">上划改上解项目各镇清算!$1:$2</definedName>
    <definedName name="_xlnm.Print_Titles" localSheetId="12">社区教育!$1:$3</definedName>
    <definedName name="_xlnm.Print_Titles" localSheetId="2">莘庄镇!$1:$4</definedName>
  </definedNames>
  <calcPr calcId="124519"/>
</workbook>
</file>

<file path=xl/calcChain.xml><?xml version="1.0" encoding="utf-8"?>
<calcChain xmlns="http://schemas.openxmlformats.org/spreadsheetml/2006/main">
  <c r="C7" i="19"/>
  <c r="C6"/>
  <c r="C4"/>
  <c r="P6" i="18" l="1"/>
  <c r="O6"/>
  <c r="N6"/>
  <c r="M6"/>
  <c r="L6"/>
  <c r="K6"/>
  <c r="J6"/>
  <c r="I6"/>
  <c r="H6"/>
  <c r="G6"/>
  <c r="F6"/>
  <c r="E6"/>
  <c r="D6"/>
  <c r="C6"/>
  <c r="B6"/>
  <c r="Q5"/>
  <c r="C5" i="17" l="1"/>
  <c r="Q6" i="18"/>
  <c r="C6" i="17" l="1"/>
  <c r="E4" i="11" l="1"/>
  <c r="D5"/>
  <c r="E5" i="13"/>
  <c r="D5"/>
  <c r="F4"/>
  <c r="F5" s="1"/>
  <c r="C5" i="19" s="1"/>
  <c r="C8" s="1"/>
  <c r="H4" i="15"/>
  <c r="J4" s="1"/>
  <c r="J9" s="1"/>
  <c r="E5" i="11" l="1"/>
  <c r="D5" i="14"/>
  <c r="C5"/>
  <c r="E7" i="1" l="1"/>
  <c r="G7" l="1"/>
  <c r="F7"/>
  <c r="G56" i="7"/>
  <c r="G33"/>
  <c r="G23"/>
  <c r="B5" i="11" l="1"/>
  <c r="C4"/>
  <c r="F4" s="1"/>
  <c r="M10" i="10"/>
  <c r="M11"/>
  <c r="M12"/>
  <c r="M13"/>
  <c r="M17"/>
  <c r="M18"/>
  <c r="M19"/>
  <c r="M20"/>
  <c r="M21"/>
  <c r="M32"/>
  <c r="M33"/>
  <c r="M34"/>
  <c r="M35"/>
  <c r="M36"/>
  <c r="M37"/>
  <c r="M38"/>
  <c r="M39"/>
  <c r="M41"/>
  <c r="M42"/>
  <c r="M43"/>
  <c r="M44"/>
  <c r="M45"/>
  <c r="M46"/>
  <c r="M47"/>
  <c r="M48"/>
  <c r="M49"/>
  <c r="M50"/>
  <c r="M51"/>
  <c r="M54"/>
  <c r="M55"/>
  <c r="M56"/>
  <c r="M57"/>
  <c r="M58"/>
  <c r="M59"/>
  <c r="M60"/>
  <c r="M61"/>
  <c r="M62"/>
  <c r="M63"/>
  <c r="M64"/>
  <c r="M65"/>
  <c r="M66"/>
  <c r="M67"/>
  <c r="M68"/>
  <c r="M69"/>
  <c r="M70"/>
  <c r="M71"/>
  <c r="M72"/>
  <c r="M73"/>
  <c r="M74"/>
  <c r="M75"/>
  <c r="L6"/>
  <c r="L7"/>
  <c r="L8"/>
  <c r="L9"/>
  <c r="L10"/>
  <c r="L11"/>
  <c r="L12"/>
  <c r="L13"/>
  <c r="L14"/>
  <c r="L15"/>
  <c r="L16"/>
  <c r="L17"/>
  <c r="L18"/>
  <c r="L19"/>
  <c r="L20"/>
  <c r="L21"/>
  <c r="L22"/>
  <c r="L23"/>
  <c r="L24"/>
  <c r="L25"/>
  <c r="L26"/>
  <c r="L27"/>
  <c r="L28"/>
  <c r="L29"/>
  <c r="L30"/>
  <c r="L31"/>
  <c r="L32"/>
  <c r="L33"/>
  <c r="L34"/>
  <c r="L35"/>
  <c r="L36"/>
  <c r="L37"/>
  <c r="L38"/>
  <c r="L39"/>
  <c r="L43"/>
  <c r="L44"/>
  <c r="L45"/>
  <c r="L46"/>
  <c r="L47"/>
  <c r="L48"/>
  <c r="L49"/>
  <c r="L50"/>
  <c r="L51"/>
  <c r="L52"/>
  <c r="L53"/>
  <c r="L56"/>
  <c r="L57"/>
  <c r="L58"/>
  <c r="L59"/>
  <c r="L60"/>
  <c r="L61"/>
  <c r="L62"/>
  <c r="L63"/>
  <c r="L64"/>
  <c r="L65"/>
  <c r="L66"/>
  <c r="L67"/>
  <c r="L68"/>
  <c r="L69"/>
  <c r="L70"/>
  <c r="L71"/>
  <c r="L72"/>
  <c r="L73"/>
  <c r="L74"/>
  <c r="L75"/>
  <c r="K6"/>
  <c r="K7"/>
  <c r="K8"/>
  <c r="K9"/>
  <c r="K10"/>
  <c r="K11"/>
  <c r="K12"/>
  <c r="K13"/>
  <c r="K14"/>
  <c r="K15"/>
  <c r="K16"/>
  <c r="K17"/>
  <c r="K18"/>
  <c r="K19"/>
  <c r="K20"/>
  <c r="K21"/>
  <c r="K22"/>
  <c r="K23"/>
  <c r="K24"/>
  <c r="K25"/>
  <c r="K26"/>
  <c r="K27"/>
  <c r="K28"/>
  <c r="K29"/>
  <c r="K30"/>
  <c r="K31"/>
  <c r="K32"/>
  <c r="K33"/>
  <c r="K34"/>
  <c r="K35"/>
  <c r="K36"/>
  <c r="K37"/>
  <c r="K38"/>
  <c r="K39"/>
  <c r="K40"/>
  <c r="K41"/>
  <c r="K42"/>
  <c r="K43"/>
  <c r="K44"/>
  <c r="K45"/>
  <c r="K46"/>
  <c r="K47"/>
  <c r="K48"/>
  <c r="K49"/>
  <c r="K50"/>
  <c r="K51"/>
  <c r="K52"/>
  <c r="K53"/>
  <c r="K54"/>
  <c r="K55"/>
  <c r="K56"/>
  <c r="K57"/>
  <c r="K58"/>
  <c r="K59"/>
  <c r="K60"/>
  <c r="K61"/>
  <c r="K62"/>
  <c r="K63"/>
  <c r="K64"/>
  <c r="K65"/>
  <c r="K66"/>
  <c r="K67"/>
  <c r="K68"/>
  <c r="K69"/>
  <c r="K70"/>
  <c r="K71"/>
  <c r="K72"/>
  <c r="K73"/>
  <c r="K74"/>
  <c r="K75"/>
  <c r="K5"/>
  <c r="J6"/>
  <c r="J7"/>
  <c r="J8"/>
  <c r="J9"/>
  <c r="J10"/>
  <c r="J11"/>
  <c r="J12"/>
  <c r="J13"/>
  <c r="J14"/>
  <c r="J15"/>
  <c r="J16"/>
  <c r="J17"/>
  <c r="J18"/>
  <c r="J19"/>
  <c r="J20"/>
  <c r="J21"/>
  <c r="J22"/>
  <c r="J23"/>
  <c r="J24"/>
  <c r="J25"/>
  <c r="J26"/>
  <c r="J27"/>
  <c r="J28"/>
  <c r="J29"/>
  <c r="J30"/>
  <c r="J31"/>
  <c r="J32"/>
  <c r="J33"/>
  <c r="J34"/>
  <c r="J35"/>
  <c r="J36"/>
  <c r="J37"/>
  <c r="J38"/>
  <c r="J39"/>
  <c r="J40"/>
  <c r="J41"/>
  <c r="J42"/>
  <c r="J43"/>
  <c r="J44"/>
  <c r="J45"/>
  <c r="J46"/>
  <c r="J47"/>
  <c r="J48"/>
  <c r="J49"/>
  <c r="J50"/>
  <c r="J51"/>
  <c r="J52"/>
  <c r="J53"/>
  <c r="J54"/>
  <c r="J55"/>
  <c r="J56"/>
  <c r="J57"/>
  <c r="J58"/>
  <c r="J59"/>
  <c r="J60"/>
  <c r="J61"/>
  <c r="J62"/>
  <c r="J63"/>
  <c r="J64"/>
  <c r="J65"/>
  <c r="J66"/>
  <c r="J67"/>
  <c r="J68"/>
  <c r="J69"/>
  <c r="J70"/>
  <c r="J71"/>
  <c r="J72"/>
  <c r="J73"/>
  <c r="J74"/>
  <c r="J75"/>
  <c r="J5"/>
  <c r="I6"/>
  <c r="I7"/>
  <c r="I8"/>
  <c r="I9"/>
  <c r="I10"/>
  <c r="I11"/>
  <c r="I12"/>
  <c r="I13"/>
  <c r="I14"/>
  <c r="I15"/>
  <c r="I16"/>
  <c r="I17"/>
  <c r="I18"/>
  <c r="I19"/>
  <c r="I20"/>
  <c r="I21"/>
  <c r="I22"/>
  <c r="I23"/>
  <c r="I24"/>
  <c r="I25"/>
  <c r="I26"/>
  <c r="I27"/>
  <c r="I28"/>
  <c r="I29"/>
  <c r="I30"/>
  <c r="I31"/>
  <c r="I32"/>
  <c r="I33"/>
  <c r="I34"/>
  <c r="I35"/>
  <c r="I36"/>
  <c r="I37"/>
  <c r="I38"/>
  <c r="I39"/>
  <c r="I40"/>
  <c r="I41"/>
  <c r="I42"/>
  <c r="I43"/>
  <c r="I44"/>
  <c r="I45"/>
  <c r="I46"/>
  <c r="I47"/>
  <c r="I48"/>
  <c r="I49"/>
  <c r="I50"/>
  <c r="I51"/>
  <c r="I52"/>
  <c r="I53"/>
  <c r="I54"/>
  <c r="I55"/>
  <c r="I56"/>
  <c r="I57"/>
  <c r="I58"/>
  <c r="I59"/>
  <c r="I60"/>
  <c r="I61"/>
  <c r="I62"/>
  <c r="I63"/>
  <c r="I64"/>
  <c r="I65"/>
  <c r="I66"/>
  <c r="I67"/>
  <c r="I68"/>
  <c r="I69"/>
  <c r="I70"/>
  <c r="I71"/>
  <c r="I72"/>
  <c r="I73"/>
  <c r="I74"/>
  <c r="I75"/>
  <c r="I5"/>
  <c r="H6"/>
  <c r="H7"/>
  <c r="H8"/>
  <c r="H9"/>
  <c r="H10"/>
  <c r="H11"/>
  <c r="H12"/>
  <c r="H13"/>
  <c r="H14"/>
  <c r="H15"/>
  <c r="H16"/>
  <c r="H17"/>
  <c r="H18"/>
  <c r="H19"/>
  <c r="H20"/>
  <c r="H21"/>
  <c r="H22"/>
  <c r="H23"/>
  <c r="H24"/>
  <c r="H25"/>
  <c r="H26"/>
  <c r="H27"/>
  <c r="H28"/>
  <c r="H29"/>
  <c r="H30"/>
  <c r="H31"/>
  <c r="H32"/>
  <c r="H33"/>
  <c r="H34"/>
  <c r="H35"/>
  <c r="H36"/>
  <c r="H37"/>
  <c r="H38"/>
  <c r="H39"/>
  <c r="H40"/>
  <c r="H41"/>
  <c r="H42"/>
  <c r="H43"/>
  <c r="H44"/>
  <c r="H45"/>
  <c r="H46"/>
  <c r="H47"/>
  <c r="H48"/>
  <c r="H49"/>
  <c r="H50"/>
  <c r="H51"/>
  <c r="H52"/>
  <c r="H53"/>
  <c r="H54"/>
  <c r="H55"/>
  <c r="H56"/>
  <c r="H57"/>
  <c r="H58"/>
  <c r="H59"/>
  <c r="H60"/>
  <c r="H61"/>
  <c r="H62"/>
  <c r="H63"/>
  <c r="H64"/>
  <c r="H65"/>
  <c r="H66"/>
  <c r="H67"/>
  <c r="H68"/>
  <c r="H69"/>
  <c r="H70"/>
  <c r="H71"/>
  <c r="H72"/>
  <c r="H73"/>
  <c r="H74"/>
  <c r="H75"/>
  <c r="H5"/>
  <c r="G6"/>
  <c r="G7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35"/>
  <c r="G36"/>
  <c r="G37"/>
  <c r="G38"/>
  <c r="G39"/>
  <c r="G40"/>
  <c r="G41"/>
  <c r="G42"/>
  <c r="G43"/>
  <c r="G44"/>
  <c r="G45"/>
  <c r="G46"/>
  <c r="G47"/>
  <c r="G48"/>
  <c r="G49"/>
  <c r="G50"/>
  <c r="G51"/>
  <c r="G52"/>
  <c r="G53"/>
  <c r="G54"/>
  <c r="G55"/>
  <c r="G56"/>
  <c r="G57"/>
  <c r="G58"/>
  <c r="G59"/>
  <c r="G60"/>
  <c r="G61"/>
  <c r="G62"/>
  <c r="G63"/>
  <c r="G64"/>
  <c r="G65"/>
  <c r="G66"/>
  <c r="G67"/>
  <c r="G68"/>
  <c r="G69"/>
  <c r="G70"/>
  <c r="G71"/>
  <c r="G72"/>
  <c r="G73"/>
  <c r="G74"/>
  <c r="G75"/>
  <c r="G5"/>
  <c r="F21"/>
  <c r="F32"/>
  <c r="F38"/>
  <c r="F39"/>
  <c r="F54"/>
  <c r="F55"/>
  <c r="F62"/>
  <c r="F64"/>
  <c r="F65"/>
  <c r="F67"/>
  <c r="F69"/>
  <c r="F70"/>
  <c r="F72"/>
  <c r="E6"/>
  <c r="E7"/>
  <c r="E8"/>
  <c r="E9"/>
  <c r="E10"/>
  <c r="E11"/>
  <c r="E12"/>
  <c r="E13"/>
  <c r="E14"/>
  <c r="E15"/>
  <c r="E16"/>
  <c r="E17"/>
  <c r="E18"/>
  <c r="E19"/>
  <c r="E20"/>
  <c r="E21"/>
  <c r="E22"/>
  <c r="E23"/>
  <c r="E24"/>
  <c r="E25"/>
  <c r="E26"/>
  <c r="E27"/>
  <c r="E28"/>
  <c r="E29"/>
  <c r="E30"/>
  <c r="E31"/>
  <c r="E32"/>
  <c r="E33"/>
  <c r="E34"/>
  <c r="E35"/>
  <c r="E36"/>
  <c r="E37"/>
  <c r="E38"/>
  <c r="E39"/>
  <c r="E40"/>
  <c r="E41"/>
  <c r="E42"/>
  <c r="E43"/>
  <c r="E44"/>
  <c r="E45"/>
  <c r="E46"/>
  <c r="E47"/>
  <c r="E48"/>
  <c r="E49"/>
  <c r="E50"/>
  <c r="E51"/>
  <c r="E52"/>
  <c r="E53"/>
  <c r="E54"/>
  <c r="E55"/>
  <c r="E56"/>
  <c r="E57"/>
  <c r="E58"/>
  <c r="E59"/>
  <c r="E60"/>
  <c r="E61"/>
  <c r="E62"/>
  <c r="E63"/>
  <c r="E64"/>
  <c r="E65"/>
  <c r="E66"/>
  <c r="E67"/>
  <c r="E68"/>
  <c r="E69"/>
  <c r="E70"/>
  <c r="E71"/>
  <c r="E72"/>
  <c r="E73"/>
  <c r="E74"/>
  <c r="E75"/>
  <c r="E5"/>
  <c r="N65"/>
  <c r="N21"/>
  <c r="C5" i="11" l="1"/>
  <c r="F5"/>
  <c r="N69" i="10"/>
  <c r="N32"/>
  <c r="N67"/>
  <c r="N72"/>
  <c r="N64"/>
  <c r="N39"/>
  <c r="N70"/>
  <c r="N62"/>
  <c r="N38"/>
  <c r="X74" i="9" l="1"/>
  <c r="X73"/>
  <c r="X72"/>
  <c r="X71"/>
  <c r="X70"/>
  <c r="X69"/>
  <c r="X68"/>
  <c r="W67"/>
  <c r="V67"/>
  <c r="U67"/>
  <c r="T67"/>
  <c r="S67"/>
  <c r="R67"/>
  <c r="Q67"/>
  <c r="P67"/>
  <c r="O67"/>
  <c r="N67"/>
  <c r="M67"/>
  <c r="L67"/>
  <c r="K67"/>
  <c r="J67"/>
  <c r="I67"/>
  <c r="H67"/>
  <c r="X67" s="1"/>
  <c r="G67"/>
  <c r="F67"/>
  <c r="E67"/>
  <c r="X66"/>
  <c r="X65"/>
  <c r="X64"/>
  <c r="X63"/>
  <c r="W62"/>
  <c r="W49" s="1"/>
  <c r="W48" s="1"/>
  <c r="W39" s="1"/>
  <c r="V62"/>
  <c r="U62"/>
  <c r="T62"/>
  <c r="T12" s="1"/>
  <c r="T11" s="1"/>
  <c r="T9" s="1"/>
  <c r="S62"/>
  <c r="S49" s="1"/>
  <c r="S48" s="1"/>
  <c r="S39" s="1"/>
  <c r="R62"/>
  <c r="Q62"/>
  <c r="P62"/>
  <c r="P12" s="1"/>
  <c r="P11" s="1"/>
  <c r="P9" s="1"/>
  <c r="O62"/>
  <c r="O49" s="1"/>
  <c r="O48" s="1"/>
  <c r="O39" s="1"/>
  <c r="N62"/>
  <c r="M62"/>
  <c r="L62"/>
  <c r="L12" s="1"/>
  <c r="L11" s="1"/>
  <c r="L9" s="1"/>
  <c r="L5" s="1"/>
  <c r="K62"/>
  <c r="K49" s="1"/>
  <c r="K48" s="1"/>
  <c r="K39" s="1"/>
  <c r="J62"/>
  <c r="I62"/>
  <c r="H62"/>
  <c r="X62" s="1"/>
  <c r="G62"/>
  <c r="G49" s="1"/>
  <c r="G48" s="1"/>
  <c r="F62"/>
  <c r="E62"/>
  <c r="X61"/>
  <c r="X60"/>
  <c r="W59"/>
  <c r="V59"/>
  <c r="V39" s="1"/>
  <c r="U59"/>
  <c r="T59"/>
  <c r="S59"/>
  <c r="R59"/>
  <c r="Q59"/>
  <c r="P59"/>
  <c r="O59"/>
  <c r="N59"/>
  <c r="M59"/>
  <c r="L59"/>
  <c r="K59"/>
  <c r="J59"/>
  <c r="J39" s="1"/>
  <c r="I59"/>
  <c r="H59"/>
  <c r="G59"/>
  <c r="F59"/>
  <c r="E59"/>
  <c r="X59" s="1"/>
  <c r="E58"/>
  <c r="X58" s="1"/>
  <c r="W57"/>
  <c r="V57"/>
  <c r="U57"/>
  <c r="T57"/>
  <c r="S57"/>
  <c r="R57"/>
  <c r="Q57"/>
  <c r="P57"/>
  <c r="O57"/>
  <c r="N57"/>
  <c r="M57"/>
  <c r="L57"/>
  <c r="K57"/>
  <c r="J57"/>
  <c r="I57"/>
  <c r="H57"/>
  <c r="X57" s="1"/>
  <c r="G57"/>
  <c r="F57"/>
  <c r="E57"/>
  <c r="W56"/>
  <c r="V56"/>
  <c r="U56"/>
  <c r="T56"/>
  <c r="S56"/>
  <c r="R56"/>
  <c r="Q56"/>
  <c r="P56"/>
  <c r="O56"/>
  <c r="N56"/>
  <c r="M56"/>
  <c r="L56"/>
  <c r="K56"/>
  <c r="J56"/>
  <c r="I56"/>
  <c r="H56"/>
  <c r="X56" s="1"/>
  <c r="G56"/>
  <c r="F56"/>
  <c r="E56"/>
  <c r="W55"/>
  <c r="V55"/>
  <c r="U55"/>
  <c r="T55"/>
  <c r="S55"/>
  <c r="R55"/>
  <c r="Q55"/>
  <c r="P55"/>
  <c r="O55"/>
  <c r="N55"/>
  <c r="M55"/>
  <c r="L55"/>
  <c r="K55"/>
  <c r="J55"/>
  <c r="I55"/>
  <c r="H55"/>
  <c r="X55" s="1"/>
  <c r="G55"/>
  <c r="F55"/>
  <c r="E55"/>
  <c r="X54"/>
  <c r="W53"/>
  <c r="V53"/>
  <c r="U53"/>
  <c r="T53"/>
  <c r="S53"/>
  <c r="R53"/>
  <c r="Q53"/>
  <c r="P53"/>
  <c r="O53"/>
  <c r="N53"/>
  <c r="M53"/>
  <c r="L53"/>
  <c r="K53"/>
  <c r="J53"/>
  <c r="I53"/>
  <c r="H53"/>
  <c r="G53"/>
  <c r="F53"/>
  <c r="E53"/>
  <c r="X53" s="1"/>
  <c r="W52"/>
  <c r="V52"/>
  <c r="T52"/>
  <c r="Q52"/>
  <c r="P52"/>
  <c r="O52"/>
  <c r="L52"/>
  <c r="K52"/>
  <c r="J52"/>
  <c r="I52"/>
  <c r="E52"/>
  <c r="W51"/>
  <c r="V51"/>
  <c r="T51"/>
  <c r="Q51"/>
  <c r="P51"/>
  <c r="O51"/>
  <c r="L51"/>
  <c r="K51"/>
  <c r="J51"/>
  <c r="I51"/>
  <c r="E51"/>
  <c r="W50"/>
  <c r="V50"/>
  <c r="U50"/>
  <c r="T50"/>
  <c r="S50"/>
  <c r="R50"/>
  <c r="Q50"/>
  <c r="P50"/>
  <c r="O50"/>
  <c r="N50"/>
  <c r="M50"/>
  <c r="L50"/>
  <c r="K50"/>
  <c r="J50"/>
  <c r="I50"/>
  <c r="H50"/>
  <c r="G50"/>
  <c r="F50"/>
  <c r="E50"/>
  <c r="X50" s="1"/>
  <c r="V49"/>
  <c r="U49"/>
  <c r="R49"/>
  <c r="Q49"/>
  <c r="N49"/>
  <c r="M49"/>
  <c r="J49"/>
  <c r="I49"/>
  <c r="F49"/>
  <c r="E49"/>
  <c r="V48"/>
  <c r="U48"/>
  <c r="R48"/>
  <c r="Q48"/>
  <c r="N48"/>
  <c r="M48"/>
  <c r="J48"/>
  <c r="I48"/>
  <c r="F48"/>
  <c r="E48"/>
  <c r="W47"/>
  <c r="V47"/>
  <c r="U47"/>
  <c r="T47"/>
  <c r="S47"/>
  <c r="R47"/>
  <c r="Q47"/>
  <c r="P47"/>
  <c r="O47"/>
  <c r="N47"/>
  <c r="M47"/>
  <c r="L47"/>
  <c r="K47"/>
  <c r="J47"/>
  <c r="I47"/>
  <c r="H47"/>
  <c r="G47"/>
  <c r="F47"/>
  <c r="E47"/>
  <c r="X47" s="1"/>
  <c r="W46"/>
  <c r="V46"/>
  <c r="U46"/>
  <c r="T46"/>
  <c r="S46"/>
  <c r="R46"/>
  <c r="Q46"/>
  <c r="P46"/>
  <c r="O46"/>
  <c r="N46"/>
  <c r="M46"/>
  <c r="L46"/>
  <c r="K46"/>
  <c r="J46"/>
  <c r="I46"/>
  <c r="H46"/>
  <c r="G46"/>
  <c r="F46"/>
  <c r="E46"/>
  <c r="X46" s="1"/>
  <c r="W45"/>
  <c r="V45"/>
  <c r="U45"/>
  <c r="T45"/>
  <c r="S45"/>
  <c r="R45"/>
  <c r="Q45"/>
  <c r="P45"/>
  <c r="O45"/>
  <c r="N45"/>
  <c r="M45"/>
  <c r="L45"/>
  <c r="K45"/>
  <c r="J45"/>
  <c r="I45"/>
  <c r="H45"/>
  <c r="G45"/>
  <c r="F45"/>
  <c r="E45"/>
  <c r="X45" s="1"/>
  <c r="W44"/>
  <c r="V44"/>
  <c r="U44"/>
  <c r="T44"/>
  <c r="S44"/>
  <c r="R44"/>
  <c r="Q44"/>
  <c r="P44"/>
  <c r="O44"/>
  <c r="N44"/>
  <c r="M44"/>
  <c r="L44"/>
  <c r="K44"/>
  <c r="J44"/>
  <c r="I44"/>
  <c r="H44"/>
  <c r="G44"/>
  <c r="F44"/>
  <c r="E44"/>
  <c r="X44" s="1"/>
  <c r="W43"/>
  <c r="V43"/>
  <c r="U43"/>
  <c r="S43"/>
  <c r="R43"/>
  <c r="Q43"/>
  <c r="O43"/>
  <c r="N43"/>
  <c r="M43"/>
  <c r="K43"/>
  <c r="J43"/>
  <c r="I43"/>
  <c r="G43"/>
  <c r="F43"/>
  <c r="E43"/>
  <c r="W42"/>
  <c r="V42"/>
  <c r="U42"/>
  <c r="S42"/>
  <c r="R42"/>
  <c r="Q42"/>
  <c r="Q39" s="1"/>
  <c r="O42"/>
  <c r="N42"/>
  <c r="M42"/>
  <c r="K42"/>
  <c r="J42"/>
  <c r="I42"/>
  <c r="I39" s="1"/>
  <c r="G42"/>
  <c r="F42"/>
  <c r="E42"/>
  <c r="E39" s="1"/>
  <c r="U41"/>
  <c r="O41"/>
  <c r="H41"/>
  <c r="E41"/>
  <c r="X41" s="1"/>
  <c r="U40"/>
  <c r="S40"/>
  <c r="M40"/>
  <c r="M39" s="1"/>
  <c r="E40"/>
  <c r="X40" s="1"/>
  <c r="X38"/>
  <c r="W37"/>
  <c r="V37"/>
  <c r="U37"/>
  <c r="T37"/>
  <c r="S37"/>
  <c r="R37"/>
  <c r="Q37"/>
  <c r="P37"/>
  <c r="O37"/>
  <c r="N37"/>
  <c r="M37"/>
  <c r="L37"/>
  <c r="K37"/>
  <c r="J37"/>
  <c r="I37"/>
  <c r="H37"/>
  <c r="X37" s="1"/>
  <c r="G37"/>
  <c r="F37"/>
  <c r="E37"/>
  <c r="U36"/>
  <c r="U35" s="1"/>
  <c r="U32" s="1"/>
  <c r="S36"/>
  <c r="R36"/>
  <c r="H36"/>
  <c r="X36" s="1"/>
  <c r="F36"/>
  <c r="E36"/>
  <c r="W35"/>
  <c r="W32" s="1"/>
  <c r="V35"/>
  <c r="T35"/>
  <c r="T32" s="1"/>
  <c r="S35"/>
  <c r="S32" s="1"/>
  <c r="R35"/>
  <c r="Q35"/>
  <c r="P35"/>
  <c r="P32" s="1"/>
  <c r="O35"/>
  <c r="O32" s="1"/>
  <c r="N35"/>
  <c r="M35"/>
  <c r="L35"/>
  <c r="L32" s="1"/>
  <c r="K35"/>
  <c r="K32" s="1"/>
  <c r="J35"/>
  <c r="I35"/>
  <c r="G35"/>
  <c r="G32" s="1"/>
  <c r="F35"/>
  <c r="E35"/>
  <c r="Q34"/>
  <c r="Q33" s="1"/>
  <c r="Q32" s="1"/>
  <c r="N34"/>
  <c r="H34"/>
  <c r="G34"/>
  <c r="F34"/>
  <c r="E34"/>
  <c r="X34" s="1"/>
  <c r="W33"/>
  <c r="V33"/>
  <c r="U33"/>
  <c r="T33"/>
  <c r="S33"/>
  <c r="R33"/>
  <c r="P33"/>
  <c r="O33"/>
  <c r="N33"/>
  <c r="M33"/>
  <c r="L33"/>
  <c r="K33"/>
  <c r="J33"/>
  <c r="I33"/>
  <c r="H33"/>
  <c r="G33"/>
  <c r="F33"/>
  <c r="E33"/>
  <c r="X33" s="1"/>
  <c r="V32"/>
  <c r="R32"/>
  <c r="N32"/>
  <c r="M32"/>
  <c r="J32"/>
  <c r="I32"/>
  <c r="F32"/>
  <c r="E32"/>
  <c r="X31"/>
  <c r="U30"/>
  <c r="U52" s="1"/>
  <c r="U51" s="1"/>
  <c r="S30"/>
  <c r="S52" s="1"/>
  <c r="S51" s="1"/>
  <c r="R30"/>
  <c r="R52" s="1"/>
  <c r="R51" s="1"/>
  <c r="R39" s="1"/>
  <c r="N30"/>
  <c r="N52" s="1"/>
  <c r="N51" s="1"/>
  <c r="N39" s="1"/>
  <c r="M30"/>
  <c r="M52" s="1"/>
  <c r="M51" s="1"/>
  <c r="H30"/>
  <c r="H52" s="1"/>
  <c r="H51" s="1"/>
  <c r="G30"/>
  <c r="G52" s="1"/>
  <c r="G51" s="1"/>
  <c r="F30"/>
  <c r="F52" s="1"/>
  <c r="F51" s="1"/>
  <c r="F39" s="1"/>
  <c r="W29"/>
  <c r="V29"/>
  <c r="T29"/>
  <c r="S29"/>
  <c r="R29"/>
  <c r="Q29"/>
  <c r="P29"/>
  <c r="O29"/>
  <c r="L29"/>
  <c r="K29"/>
  <c r="J29"/>
  <c r="I29"/>
  <c r="H29"/>
  <c r="G29"/>
  <c r="E29"/>
  <c r="W28"/>
  <c r="V28"/>
  <c r="T28"/>
  <c r="S28"/>
  <c r="R28"/>
  <c r="Q28"/>
  <c r="P28"/>
  <c r="O28"/>
  <c r="L28"/>
  <c r="K28"/>
  <c r="J28"/>
  <c r="I28"/>
  <c r="H28"/>
  <c r="G28"/>
  <c r="E28"/>
  <c r="W27"/>
  <c r="V27"/>
  <c r="T27"/>
  <c r="S27"/>
  <c r="R27"/>
  <c r="Q27"/>
  <c r="P27"/>
  <c r="O27"/>
  <c r="L27"/>
  <c r="K27"/>
  <c r="J27"/>
  <c r="I27"/>
  <c r="H27"/>
  <c r="G27"/>
  <c r="E27"/>
  <c r="W26"/>
  <c r="V26"/>
  <c r="T26"/>
  <c r="S26"/>
  <c r="R26"/>
  <c r="Q26"/>
  <c r="P26"/>
  <c r="O26"/>
  <c r="L26"/>
  <c r="K26"/>
  <c r="J26"/>
  <c r="I26"/>
  <c r="H26"/>
  <c r="G26"/>
  <c r="E26"/>
  <c r="W25"/>
  <c r="V25"/>
  <c r="T25"/>
  <c r="S25"/>
  <c r="R25"/>
  <c r="Q25"/>
  <c r="P25"/>
  <c r="O25"/>
  <c r="L25"/>
  <c r="K25"/>
  <c r="J25"/>
  <c r="I25"/>
  <c r="H25"/>
  <c r="G25"/>
  <c r="E25"/>
  <c r="W24"/>
  <c r="V24"/>
  <c r="T24"/>
  <c r="S24"/>
  <c r="R24"/>
  <c r="Q24"/>
  <c r="P24"/>
  <c r="O24"/>
  <c r="L24"/>
  <c r="K24"/>
  <c r="J24"/>
  <c r="I24"/>
  <c r="H24"/>
  <c r="G24"/>
  <c r="E24"/>
  <c r="W23"/>
  <c r="V23"/>
  <c r="T23"/>
  <c r="S23"/>
  <c r="R23"/>
  <c r="Q23"/>
  <c r="P23"/>
  <c r="O23"/>
  <c r="L23"/>
  <c r="K23"/>
  <c r="J23"/>
  <c r="I23"/>
  <c r="H23"/>
  <c r="G23"/>
  <c r="E23"/>
  <c r="W22"/>
  <c r="V22"/>
  <c r="T22"/>
  <c r="S22"/>
  <c r="R22"/>
  <c r="Q22"/>
  <c r="P22"/>
  <c r="O22"/>
  <c r="L22"/>
  <c r="K22"/>
  <c r="J22"/>
  <c r="I22"/>
  <c r="H22"/>
  <c r="G22"/>
  <c r="E22"/>
  <c r="W21"/>
  <c r="V21"/>
  <c r="T21"/>
  <c r="S21"/>
  <c r="R21"/>
  <c r="Q21"/>
  <c r="P21"/>
  <c r="O21"/>
  <c r="L21"/>
  <c r="K21"/>
  <c r="J21"/>
  <c r="I21"/>
  <c r="H21"/>
  <c r="G21"/>
  <c r="E21"/>
  <c r="N20"/>
  <c r="X20" s="1"/>
  <c r="K20"/>
  <c r="E20"/>
  <c r="W19"/>
  <c r="W16" s="1"/>
  <c r="W5" s="1"/>
  <c r="W4" s="1"/>
  <c r="V19"/>
  <c r="U19"/>
  <c r="T19"/>
  <c r="T16" s="1"/>
  <c r="S19"/>
  <c r="S16" s="1"/>
  <c r="R19"/>
  <c r="Q19"/>
  <c r="P19"/>
  <c r="P16" s="1"/>
  <c r="O19"/>
  <c r="O16" s="1"/>
  <c r="O5" s="1"/>
  <c r="O4" s="1"/>
  <c r="N19"/>
  <c r="M19"/>
  <c r="L19"/>
  <c r="L16" s="1"/>
  <c r="K19"/>
  <c r="K16" s="1"/>
  <c r="K5" s="1"/>
  <c r="K4" s="1"/>
  <c r="J19"/>
  <c r="I19"/>
  <c r="H19"/>
  <c r="H16" s="1"/>
  <c r="G19"/>
  <c r="X19" s="1"/>
  <c r="F19"/>
  <c r="E19"/>
  <c r="X18"/>
  <c r="X17"/>
  <c r="V16"/>
  <c r="U16"/>
  <c r="R16"/>
  <c r="Q16"/>
  <c r="N16"/>
  <c r="M16"/>
  <c r="J16"/>
  <c r="I16"/>
  <c r="F16"/>
  <c r="E16"/>
  <c r="W15"/>
  <c r="V15"/>
  <c r="U15"/>
  <c r="T15"/>
  <c r="S15"/>
  <c r="R15"/>
  <c r="Q15"/>
  <c r="P15"/>
  <c r="O15"/>
  <c r="N15"/>
  <c r="M15"/>
  <c r="L15"/>
  <c r="K15"/>
  <c r="J15"/>
  <c r="I15"/>
  <c r="H15"/>
  <c r="G15"/>
  <c r="F15"/>
  <c r="E15"/>
  <c r="X15" s="1"/>
  <c r="W14"/>
  <c r="V14"/>
  <c r="U14"/>
  <c r="T14"/>
  <c r="S14"/>
  <c r="R14"/>
  <c r="Q14"/>
  <c r="P14"/>
  <c r="O14"/>
  <c r="N14"/>
  <c r="M14"/>
  <c r="L14"/>
  <c r="K14"/>
  <c r="J14"/>
  <c r="I14"/>
  <c r="H14"/>
  <c r="G14"/>
  <c r="F14"/>
  <c r="E14"/>
  <c r="X14" s="1"/>
  <c r="W13"/>
  <c r="V13"/>
  <c r="U13"/>
  <c r="T13"/>
  <c r="S13"/>
  <c r="R13"/>
  <c r="Q13"/>
  <c r="P13"/>
  <c r="O13"/>
  <c r="N13"/>
  <c r="M13"/>
  <c r="L13"/>
  <c r="K13"/>
  <c r="J13"/>
  <c r="I13"/>
  <c r="H13"/>
  <c r="G13"/>
  <c r="F13"/>
  <c r="E13"/>
  <c r="X13" s="1"/>
  <c r="W12"/>
  <c r="V12"/>
  <c r="U12"/>
  <c r="S12"/>
  <c r="R12"/>
  <c r="Q12"/>
  <c r="O12"/>
  <c r="N12"/>
  <c r="M12"/>
  <c r="K12"/>
  <c r="J12"/>
  <c r="I12"/>
  <c r="G12"/>
  <c r="F12"/>
  <c r="E12"/>
  <c r="W11"/>
  <c r="V11"/>
  <c r="U11"/>
  <c r="S11"/>
  <c r="R11"/>
  <c r="Q11"/>
  <c r="O11"/>
  <c r="N11"/>
  <c r="M11"/>
  <c r="K11"/>
  <c r="J11"/>
  <c r="I11"/>
  <c r="G11"/>
  <c r="F11"/>
  <c r="E11"/>
  <c r="U10"/>
  <c r="S10"/>
  <c r="S9" s="1"/>
  <c r="N10"/>
  <c r="N9" s="1"/>
  <c r="H10"/>
  <c r="G10"/>
  <c r="F10"/>
  <c r="E10"/>
  <c r="X10" s="1"/>
  <c r="W9"/>
  <c r="V9"/>
  <c r="U9"/>
  <c r="R9"/>
  <c r="Q9"/>
  <c r="O9"/>
  <c r="M9"/>
  <c r="K9"/>
  <c r="J9"/>
  <c r="J5" s="1"/>
  <c r="J4" s="1"/>
  <c r="I9"/>
  <c r="G9"/>
  <c r="F9"/>
  <c r="E9"/>
  <c r="U8"/>
  <c r="S8"/>
  <c r="R8"/>
  <c r="R6" s="1"/>
  <c r="R5" s="1"/>
  <c r="R4" s="1"/>
  <c r="N8"/>
  <c r="H8"/>
  <c r="G8"/>
  <c r="F8"/>
  <c r="F6" s="1"/>
  <c r="E8"/>
  <c r="X8" s="1"/>
  <c r="U7"/>
  <c r="U6" s="1"/>
  <c r="S7"/>
  <c r="R7"/>
  <c r="N7"/>
  <c r="N6" s="1"/>
  <c r="H7"/>
  <c r="G7"/>
  <c r="F7"/>
  <c r="E7"/>
  <c r="X7" s="1"/>
  <c r="W6"/>
  <c r="V6"/>
  <c r="T6"/>
  <c r="S6"/>
  <c r="Q6"/>
  <c r="P6"/>
  <c r="O6"/>
  <c r="M6"/>
  <c r="L6"/>
  <c r="K6"/>
  <c r="J6"/>
  <c r="I6"/>
  <c r="H6"/>
  <c r="G6"/>
  <c r="E6"/>
  <c r="L74" i="8"/>
  <c r="K74"/>
  <c r="T74" s="1"/>
  <c r="S73"/>
  <c r="L73"/>
  <c r="K73"/>
  <c r="T73" s="1"/>
  <c r="T72"/>
  <c r="T71"/>
  <c r="T70"/>
  <c r="T69"/>
  <c r="T68"/>
  <c r="S67"/>
  <c r="R67"/>
  <c r="Q67"/>
  <c r="P67"/>
  <c r="O67"/>
  <c r="N67"/>
  <c r="M67"/>
  <c r="L67"/>
  <c r="K67"/>
  <c r="J67"/>
  <c r="I67"/>
  <c r="H67"/>
  <c r="G67"/>
  <c r="F67"/>
  <c r="E67"/>
  <c r="T67" s="1"/>
  <c r="T66"/>
  <c r="T65"/>
  <c r="T64"/>
  <c r="T63"/>
  <c r="S62"/>
  <c r="S49" s="1"/>
  <c r="S48" s="1"/>
  <c r="R62"/>
  <c r="R49" s="1"/>
  <c r="R48" s="1"/>
  <c r="Q62"/>
  <c r="P62"/>
  <c r="O62"/>
  <c r="O49" s="1"/>
  <c r="O48" s="1"/>
  <c r="N62"/>
  <c r="N49" s="1"/>
  <c r="N48" s="1"/>
  <c r="M62"/>
  <c r="L62"/>
  <c r="K62"/>
  <c r="K49" s="1"/>
  <c r="K48" s="1"/>
  <c r="J62"/>
  <c r="J49" s="1"/>
  <c r="J48" s="1"/>
  <c r="I62"/>
  <c r="H62"/>
  <c r="G62"/>
  <c r="G49" s="1"/>
  <c r="G48" s="1"/>
  <c r="F62"/>
  <c r="F49" s="1"/>
  <c r="F48" s="1"/>
  <c r="E62"/>
  <c r="T62" s="1"/>
  <c r="T61"/>
  <c r="T60"/>
  <c r="S59"/>
  <c r="R59"/>
  <c r="Q59"/>
  <c r="P59"/>
  <c r="O59"/>
  <c r="N59"/>
  <c r="M59"/>
  <c r="L59"/>
  <c r="K59"/>
  <c r="J59"/>
  <c r="I59"/>
  <c r="H59"/>
  <c r="G59"/>
  <c r="F59"/>
  <c r="E59"/>
  <c r="T59" s="1"/>
  <c r="T58"/>
  <c r="S57"/>
  <c r="R57"/>
  <c r="Q57"/>
  <c r="P57"/>
  <c r="O57"/>
  <c r="N57"/>
  <c r="M57"/>
  <c r="L57"/>
  <c r="K57"/>
  <c r="J57"/>
  <c r="I57"/>
  <c r="H57"/>
  <c r="G57"/>
  <c r="F57"/>
  <c r="E57"/>
  <c r="T57" s="1"/>
  <c r="S56"/>
  <c r="R56"/>
  <c r="Q56"/>
  <c r="P56"/>
  <c r="O56"/>
  <c r="N56"/>
  <c r="M56"/>
  <c r="L56"/>
  <c r="K56"/>
  <c r="J56"/>
  <c r="I56"/>
  <c r="H56"/>
  <c r="G56"/>
  <c r="F56"/>
  <c r="E56"/>
  <c r="T56" s="1"/>
  <c r="S55"/>
  <c r="R55"/>
  <c r="Q55"/>
  <c r="P55"/>
  <c r="O55"/>
  <c r="N55"/>
  <c r="M55"/>
  <c r="L55"/>
  <c r="K55"/>
  <c r="J55"/>
  <c r="I55"/>
  <c r="H55"/>
  <c r="G55"/>
  <c r="F55"/>
  <c r="E55"/>
  <c r="T55" s="1"/>
  <c r="L54"/>
  <c r="H54"/>
  <c r="T54" s="1"/>
  <c r="L55" i="10" s="1"/>
  <c r="N55" s="1"/>
  <c r="S53" i="8"/>
  <c r="R53"/>
  <c r="Q53"/>
  <c r="P53"/>
  <c r="O53"/>
  <c r="N53"/>
  <c r="M53"/>
  <c r="L53"/>
  <c r="K53"/>
  <c r="J53"/>
  <c r="I53"/>
  <c r="G53"/>
  <c r="F53"/>
  <c r="E53"/>
  <c r="S52"/>
  <c r="Q52"/>
  <c r="P52"/>
  <c r="O52"/>
  <c r="N52"/>
  <c r="M52"/>
  <c r="L52"/>
  <c r="K52"/>
  <c r="J52"/>
  <c r="I52"/>
  <c r="H52"/>
  <c r="G52"/>
  <c r="F52"/>
  <c r="E52"/>
  <c r="S51"/>
  <c r="Q51"/>
  <c r="P51"/>
  <c r="O51"/>
  <c r="N51"/>
  <c r="M51"/>
  <c r="L51"/>
  <c r="K51"/>
  <c r="J51"/>
  <c r="I51"/>
  <c r="H51"/>
  <c r="G51"/>
  <c r="F51"/>
  <c r="E51"/>
  <c r="S50"/>
  <c r="R50"/>
  <c r="Q50"/>
  <c r="P50"/>
  <c r="O50"/>
  <c r="N50"/>
  <c r="M50"/>
  <c r="L50"/>
  <c r="K50"/>
  <c r="J50"/>
  <c r="I50"/>
  <c r="H50"/>
  <c r="G50"/>
  <c r="F50"/>
  <c r="E50"/>
  <c r="T50" s="1"/>
  <c r="Q49"/>
  <c r="P49"/>
  <c r="M49"/>
  <c r="L49"/>
  <c r="I49"/>
  <c r="H49"/>
  <c r="E49"/>
  <c r="Q48"/>
  <c r="P48"/>
  <c r="M48"/>
  <c r="L48"/>
  <c r="I48"/>
  <c r="H48"/>
  <c r="E48"/>
  <c r="S47"/>
  <c r="R47"/>
  <c r="Q47"/>
  <c r="P47"/>
  <c r="O47"/>
  <c r="N47"/>
  <c r="M47"/>
  <c r="L47"/>
  <c r="K47"/>
  <c r="J47"/>
  <c r="I47"/>
  <c r="H47"/>
  <c r="G47"/>
  <c r="F47"/>
  <c r="E47"/>
  <c r="T47" s="1"/>
  <c r="S46"/>
  <c r="R46"/>
  <c r="Q46"/>
  <c r="P46"/>
  <c r="O46"/>
  <c r="N46"/>
  <c r="M46"/>
  <c r="L46"/>
  <c r="K46"/>
  <c r="J46"/>
  <c r="I46"/>
  <c r="H46"/>
  <c r="G46"/>
  <c r="F46"/>
  <c r="E46"/>
  <c r="T46" s="1"/>
  <c r="S45"/>
  <c r="R45"/>
  <c r="Q45"/>
  <c r="P45"/>
  <c r="O45"/>
  <c r="N45"/>
  <c r="M45"/>
  <c r="L45"/>
  <c r="K45"/>
  <c r="J45"/>
  <c r="I45"/>
  <c r="H45"/>
  <c r="G45"/>
  <c r="F45"/>
  <c r="E45"/>
  <c r="T45" s="1"/>
  <c r="S44"/>
  <c r="R44"/>
  <c r="Q44"/>
  <c r="P44"/>
  <c r="O44"/>
  <c r="N44"/>
  <c r="M44"/>
  <c r="L44"/>
  <c r="K44"/>
  <c r="J44"/>
  <c r="I44"/>
  <c r="H44"/>
  <c r="G44"/>
  <c r="F44"/>
  <c r="E44"/>
  <c r="T44" s="1"/>
  <c r="R43"/>
  <c r="Q43"/>
  <c r="P43"/>
  <c r="N43"/>
  <c r="M43"/>
  <c r="L43"/>
  <c r="J43"/>
  <c r="I43"/>
  <c r="H43"/>
  <c r="F43"/>
  <c r="E43"/>
  <c r="R42"/>
  <c r="Q42"/>
  <c r="P42"/>
  <c r="N42"/>
  <c r="M42"/>
  <c r="L42"/>
  <c r="J42"/>
  <c r="I42"/>
  <c r="H42"/>
  <c r="F42"/>
  <c r="E42"/>
  <c r="S41"/>
  <c r="R41"/>
  <c r="Q41"/>
  <c r="O41"/>
  <c r="N41"/>
  <c r="M41"/>
  <c r="L41"/>
  <c r="K41"/>
  <c r="J41"/>
  <c r="I41"/>
  <c r="H41"/>
  <c r="G41"/>
  <c r="F41"/>
  <c r="E41"/>
  <c r="S40"/>
  <c r="R40"/>
  <c r="Q40"/>
  <c r="Q39" s="1"/>
  <c r="Q4" s="1"/>
  <c r="P40"/>
  <c r="P41" s="1"/>
  <c r="O40"/>
  <c r="N40"/>
  <c r="M40"/>
  <c r="M39" s="1"/>
  <c r="L40"/>
  <c r="L39" s="1"/>
  <c r="K40"/>
  <c r="J40"/>
  <c r="I40"/>
  <c r="I39" s="1"/>
  <c r="H40"/>
  <c r="G40"/>
  <c r="F40"/>
  <c r="E40"/>
  <c r="E39" s="1"/>
  <c r="P39"/>
  <c r="T38"/>
  <c r="S37"/>
  <c r="R37"/>
  <c r="Q37"/>
  <c r="P37"/>
  <c r="O37"/>
  <c r="N37"/>
  <c r="M37"/>
  <c r="L37"/>
  <c r="K37"/>
  <c r="J37"/>
  <c r="I37"/>
  <c r="H37"/>
  <c r="G37"/>
  <c r="F37"/>
  <c r="E37"/>
  <c r="T37" s="1"/>
  <c r="S36"/>
  <c r="R36"/>
  <c r="R35" s="1"/>
  <c r="R32" s="1"/>
  <c r="O36"/>
  <c r="N36"/>
  <c r="M36"/>
  <c r="L36"/>
  <c r="K36"/>
  <c r="J36"/>
  <c r="I36"/>
  <c r="H36"/>
  <c r="G36"/>
  <c r="F36"/>
  <c r="E36"/>
  <c r="T36" s="1"/>
  <c r="S35"/>
  <c r="S32" s="1"/>
  <c r="Q35"/>
  <c r="P35"/>
  <c r="P32" s="1"/>
  <c r="O35"/>
  <c r="O32" s="1"/>
  <c r="N35"/>
  <c r="M35"/>
  <c r="L35"/>
  <c r="L32" s="1"/>
  <c r="K35"/>
  <c r="K32" s="1"/>
  <c r="J35"/>
  <c r="I35"/>
  <c r="H35"/>
  <c r="H32" s="1"/>
  <c r="G35"/>
  <c r="G32" s="1"/>
  <c r="F35"/>
  <c r="E35"/>
  <c r="T34"/>
  <c r="R34"/>
  <c r="S33"/>
  <c r="R33"/>
  <c r="Q33"/>
  <c r="P33"/>
  <c r="O33"/>
  <c r="N33"/>
  <c r="M33"/>
  <c r="L33"/>
  <c r="K33"/>
  <c r="J33"/>
  <c r="I33"/>
  <c r="H33"/>
  <c r="G33"/>
  <c r="F33"/>
  <c r="E33"/>
  <c r="T33" s="1"/>
  <c r="Q32"/>
  <c r="N32"/>
  <c r="M32"/>
  <c r="J32"/>
  <c r="I32"/>
  <c r="F32"/>
  <c r="E32"/>
  <c r="T31"/>
  <c r="R30"/>
  <c r="R52" s="1"/>
  <c r="R51" s="1"/>
  <c r="S29"/>
  <c r="Q29"/>
  <c r="P29"/>
  <c r="O29"/>
  <c r="N29"/>
  <c r="M29"/>
  <c r="L29"/>
  <c r="K29"/>
  <c r="J29"/>
  <c r="I29"/>
  <c r="H29"/>
  <c r="G29"/>
  <c r="F29"/>
  <c r="E29"/>
  <c r="S28"/>
  <c r="Q28"/>
  <c r="P28"/>
  <c r="O28"/>
  <c r="N28"/>
  <c r="M28"/>
  <c r="L28"/>
  <c r="K28"/>
  <c r="J28"/>
  <c r="I28"/>
  <c r="H28"/>
  <c r="G28"/>
  <c r="F28"/>
  <c r="E28"/>
  <c r="S27"/>
  <c r="Q27"/>
  <c r="P27"/>
  <c r="O27"/>
  <c r="N27"/>
  <c r="M27"/>
  <c r="L27"/>
  <c r="K27"/>
  <c r="J27"/>
  <c r="I27"/>
  <c r="H27"/>
  <c r="G27"/>
  <c r="F27"/>
  <c r="E27"/>
  <c r="S26"/>
  <c r="Q26"/>
  <c r="P26"/>
  <c r="O26"/>
  <c r="N26"/>
  <c r="M26"/>
  <c r="L26"/>
  <c r="K26"/>
  <c r="J26"/>
  <c r="I26"/>
  <c r="H26"/>
  <c r="G26"/>
  <c r="F26"/>
  <c r="E26"/>
  <c r="S25"/>
  <c r="Q25"/>
  <c r="P25"/>
  <c r="O25"/>
  <c r="N25"/>
  <c r="M25"/>
  <c r="L25"/>
  <c r="K25"/>
  <c r="J25"/>
  <c r="I25"/>
  <c r="H25"/>
  <c r="G25"/>
  <c r="F25"/>
  <c r="E25"/>
  <c r="S24"/>
  <c r="R24"/>
  <c r="Q24"/>
  <c r="P24"/>
  <c r="O24"/>
  <c r="N24"/>
  <c r="M24"/>
  <c r="L24"/>
  <c r="K24"/>
  <c r="J24"/>
  <c r="I24"/>
  <c r="H24"/>
  <c r="G24"/>
  <c r="F24"/>
  <c r="E24"/>
  <c r="T24" s="1"/>
  <c r="S23"/>
  <c r="Q23"/>
  <c r="P23"/>
  <c r="O23"/>
  <c r="N23"/>
  <c r="M23"/>
  <c r="L23"/>
  <c r="K23"/>
  <c r="J23"/>
  <c r="I23"/>
  <c r="H23"/>
  <c r="G23"/>
  <c r="F23"/>
  <c r="E23"/>
  <c r="S22"/>
  <c r="R22"/>
  <c r="Q22"/>
  <c r="P22"/>
  <c r="O22"/>
  <c r="N22"/>
  <c r="M22"/>
  <c r="L22"/>
  <c r="K22"/>
  <c r="J22"/>
  <c r="I22"/>
  <c r="H22"/>
  <c r="G22"/>
  <c r="F22"/>
  <c r="E22"/>
  <c r="T22" s="1"/>
  <c r="S21"/>
  <c r="Q21"/>
  <c r="P21"/>
  <c r="O21"/>
  <c r="N21"/>
  <c r="M21"/>
  <c r="L21"/>
  <c r="K21"/>
  <c r="J21"/>
  <c r="I21"/>
  <c r="H21"/>
  <c r="G21"/>
  <c r="F21"/>
  <c r="E21"/>
  <c r="R20"/>
  <c r="O20"/>
  <c r="J20"/>
  <c r="I20"/>
  <c r="H20"/>
  <c r="G20"/>
  <c r="F20"/>
  <c r="E20"/>
  <c r="T20" s="1"/>
  <c r="S19"/>
  <c r="R19"/>
  <c r="Q19"/>
  <c r="P19"/>
  <c r="O19"/>
  <c r="N19"/>
  <c r="M19"/>
  <c r="L19"/>
  <c r="K19"/>
  <c r="J19"/>
  <c r="I19"/>
  <c r="H19"/>
  <c r="G19"/>
  <c r="F19"/>
  <c r="E19"/>
  <c r="T19" s="1"/>
  <c r="S18"/>
  <c r="R18"/>
  <c r="Q18"/>
  <c r="O18"/>
  <c r="N18"/>
  <c r="M18"/>
  <c r="M16" s="1"/>
  <c r="M5" s="1"/>
  <c r="L18"/>
  <c r="K18"/>
  <c r="J18"/>
  <c r="I18"/>
  <c r="I16" s="1"/>
  <c r="I5" s="1"/>
  <c r="H18"/>
  <c r="G18"/>
  <c r="F18"/>
  <c r="E18"/>
  <c r="T18" s="1"/>
  <c r="T17"/>
  <c r="S16"/>
  <c r="R16"/>
  <c r="Q16"/>
  <c r="P16"/>
  <c r="P5" s="1"/>
  <c r="O16"/>
  <c r="N16"/>
  <c r="L16"/>
  <c r="K16"/>
  <c r="J16"/>
  <c r="H16"/>
  <c r="G16"/>
  <c r="F16"/>
  <c r="F5" s="1"/>
  <c r="S15"/>
  <c r="R15"/>
  <c r="Q15"/>
  <c r="P15"/>
  <c r="O15"/>
  <c r="N15"/>
  <c r="M15"/>
  <c r="L15"/>
  <c r="K15"/>
  <c r="J15"/>
  <c r="I15"/>
  <c r="H15"/>
  <c r="G15"/>
  <c r="F15"/>
  <c r="E15"/>
  <c r="T15" s="1"/>
  <c r="S14"/>
  <c r="R14"/>
  <c r="Q14"/>
  <c r="P14"/>
  <c r="O14"/>
  <c r="N14"/>
  <c r="M14"/>
  <c r="L14"/>
  <c r="K14"/>
  <c r="J14"/>
  <c r="I14"/>
  <c r="H14"/>
  <c r="G14"/>
  <c r="F14"/>
  <c r="E14"/>
  <c r="T14" s="1"/>
  <c r="S13"/>
  <c r="R13"/>
  <c r="Q13"/>
  <c r="P13"/>
  <c r="O13"/>
  <c r="N13"/>
  <c r="M13"/>
  <c r="L13"/>
  <c r="K13"/>
  <c r="J13"/>
  <c r="I13"/>
  <c r="H13"/>
  <c r="G13"/>
  <c r="F13"/>
  <c r="E13"/>
  <c r="T13" s="1"/>
  <c r="S12"/>
  <c r="R12"/>
  <c r="Q12"/>
  <c r="P12"/>
  <c r="O12"/>
  <c r="N12"/>
  <c r="M12"/>
  <c r="L12"/>
  <c r="K12"/>
  <c r="J12"/>
  <c r="I12"/>
  <c r="H12"/>
  <c r="G12"/>
  <c r="F12"/>
  <c r="E12"/>
  <c r="T12" s="1"/>
  <c r="S11"/>
  <c r="R11"/>
  <c r="Q11"/>
  <c r="P11"/>
  <c r="O11"/>
  <c r="N11"/>
  <c r="M11"/>
  <c r="L11"/>
  <c r="K11"/>
  <c r="J11"/>
  <c r="I11"/>
  <c r="H11"/>
  <c r="G11"/>
  <c r="F11"/>
  <c r="E11"/>
  <c r="T11" s="1"/>
  <c r="S10"/>
  <c r="R10"/>
  <c r="Q10"/>
  <c r="P10"/>
  <c r="O10"/>
  <c r="N10"/>
  <c r="M10"/>
  <c r="L10"/>
  <c r="K10"/>
  <c r="J10"/>
  <c r="I10"/>
  <c r="H10"/>
  <c r="G10"/>
  <c r="F10"/>
  <c r="E10"/>
  <c r="T10" s="1"/>
  <c r="S9"/>
  <c r="R9"/>
  <c r="Q9"/>
  <c r="P9"/>
  <c r="O9"/>
  <c r="N9"/>
  <c r="M9"/>
  <c r="L9"/>
  <c r="K9"/>
  <c r="J9"/>
  <c r="I9"/>
  <c r="H9"/>
  <c r="G9"/>
  <c r="F9"/>
  <c r="E9"/>
  <c r="T9" s="1"/>
  <c r="S8"/>
  <c r="R8"/>
  <c r="Q8"/>
  <c r="P8"/>
  <c r="O8"/>
  <c r="N8"/>
  <c r="M8"/>
  <c r="L8"/>
  <c r="K8"/>
  <c r="J8"/>
  <c r="I8"/>
  <c r="H8"/>
  <c r="G8"/>
  <c r="F8"/>
  <c r="E8"/>
  <c r="T8" s="1"/>
  <c r="S7"/>
  <c r="R7"/>
  <c r="Q7"/>
  <c r="P7"/>
  <c r="O7"/>
  <c r="N7"/>
  <c r="M7"/>
  <c r="L7"/>
  <c r="K7"/>
  <c r="J7"/>
  <c r="I7"/>
  <c r="H7"/>
  <c r="G7"/>
  <c r="F7"/>
  <c r="E7"/>
  <c r="T7" s="1"/>
  <c r="S6"/>
  <c r="R6"/>
  <c r="Q6"/>
  <c r="P6"/>
  <c r="O6"/>
  <c r="N6"/>
  <c r="M6"/>
  <c r="L6"/>
  <c r="K6"/>
  <c r="J6"/>
  <c r="I6"/>
  <c r="H6"/>
  <c r="G6"/>
  <c r="F6"/>
  <c r="E6"/>
  <c r="T6" s="1"/>
  <c r="S5"/>
  <c r="Q5"/>
  <c r="O5"/>
  <c r="N5"/>
  <c r="L5"/>
  <c r="K5"/>
  <c r="J5"/>
  <c r="H5"/>
  <c r="G5"/>
  <c r="E74" i="7"/>
  <c r="I74" s="1"/>
  <c r="F75" i="10" s="1"/>
  <c r="N75" s="1"/>
  <c r="I73" i="7"/>
  <c r="F74" i="10" s="1"/>
  <c r="N74" s="1"/>
  <c r="E73" i="7"/>
  <c r="I72"/>
  <c r="F73" i="10" s="1"/>
  <c r="N73" s="1"/>
  <c r="I71" i="7"/>
  <c r="I70"/>
  <c r="F71" i="10" s="1"/>
  <c r="N71" s="1"/>
  <c r="I69" i="7"/>
  <c r="I68"/>
  <c r="H67"/>
  <c r="G67"/>
  <c r="F67"/>
  <c r="E67"/>
  <c r="I67" s="1"/>
  <c r="F68" i="10" s="1"/>
  <c r="I66" i="7"/>
  <c r="I65"/>
  <c r="F66" i="10" s="1"/>
  <c r="N66" s="1"/>
  <c r="I64" i="7"/>
  <c r="I63"/>
  <c r="H62"/>
  <c r="H49" s="1"/>
  <c r="H48" s="1"/>
  <c r="G62"/>
  <c r="F62"/>
  <c r="F43" s="1"/>
  <c r="F42" s="1"/>
  <c r="E62"/>
  <c r="I62" s="1"/>
  <c r="F63" i="10" s="1"/>
  <c r="I61" i="7"/>
  <c r="I60"/>
  <c r="F61" i="10" s="1"/>
  <c r="N61" s="1"/>
  <c r="H59" i="7"/>
  <c r="G59"/>
  <c r="F59"/>
  <c r="E59"/>
  <c r="I58"/>
  <c r="F59" i="10" s="1"/>
  <c r="N59" s="1"/>
  <c r="H57" i="7"/>
  <c r="G55"/>
  <c r="F57"/>
  <c r="F56" s="1"/>
  <c r="F55" s="1"/>
  <c r="E57"/>
  <c r="I57" s="1"/>
  <c r="F58" i="10" s="1"/>
  <c r="N58" s="1"/>
  <c r="H56" i="7"/>
  <c r="H55" s="1"/>
  <c r="I54"/>
  <c r="H53"/>
  <c r="G53"/>
  <c r="F53"/>
  <c r="E53"/>
  <c r="I53" s="1"/>
  <c r="H52"/>
  <c r="H51" s="1"/>
  <c r="G52"/>
  <c r="G51" s="1"/>
  <c r="F52"/>
  <c r="F51" s="1"/>
  <c r="E52"/>
  <c r="E51"/>
  <c r="H50"/>
  <c r="F50"/>
  <c r="E50"/>
  <c r="I50" s="1"/>
  <c r="F51" i="10" s="1"/>
  <c r="N51" s="1"/>
  <c r="G48" i="7"/>
  <c r="F49"/>
  <c r="F48" s="1"/>
  <c r="E49"/>
  <c r="I49" s="1"/>
  <c r="F50" i="10" s="1"/>
  <c r="N50" s="1"/>
  <c r="H47" i="7"/>
  <c r="H46" s="1"/>
  <c r="G46"/>
  <c r="F47"/>
  <c r="E47"/>
  <c r="I47" s="1"/>
  <c r="F48" i="10" s="1"/>
  <c r="N48" s="1"/>
  <c r="F46" i="7"/>
  <c r="E46"/>
  <c r="H45"/>
  <c r="F45"/>
  <c r="F44" s="1"/>
  <c r="E45"/>
  <c r="I45" s="1"/>
  <c r="F46" i="10" s="1"/>
  <c r="N46" s="1"/>
  <c r="H44" i="7"/>
  <c r="G44"/>
  <c r="H43"/>
  <c r="H42" s="1"/>
  <c r="H39" s="1"/>
  <c r="G42"/>
  <c r="E43"/>
  <c r="E42"/>
  <c r="I40"/>
  <c r="F41" i="10" s="1"/>
  <c r="E40" i="7"/>
  <c r="I38"/>
  <c r="H37"/>
  <c r="G37"/>
  <c r="F37"/>
  <c r="E37"/>
  <c r="I37" s="1"/>
  <c r="I36"/>
  <c r="F37" i="10" s="1"/>
  <c r="N37" s="1"/>
  <c r="H35" i="7"/>
  <c r="G35"/>
  <c r="G32" s="1"/>
  <c r="F35"/>
  <c r="E35"/>
  <c r="I35" s="1"/>
  <c r="F36" i="10" s="1"/>
  <c r="N36" s="1"/>
  <c r="I34" i="7"/>
  <c r="F35" i="10" s="1"/>
  <c r="N35" s="1"/>
  <c r="H33" i="7"/>
  <c r="H32" s="1"/>
  <c r="F33"/>
  <c r="E33"/>
  <c r="E32" s="1"/>
  <c r="F32"/>
  <c r="I31"/>
  <c r="I30"/>
  <c r="F31" i="10" s="1"/>
  <c r="H29" i="7"/>
  <c r="H28" s="1"/>
  <c r="G28"/>
  <c r="F29"/>
  <c r="E29"/>
  <c r="E28" s="1"/>
  <c r="F28"/>
  <c r="H27"/>
  <c r="G26"/>
  <c r="F27"/>
  <c r="F26" s="1"/>
  <c r="E27"/>
  <c r="I27" s="1"/>
  <c r="F28" i="10" s="1"/>
  <c r="H26" i="7"/>
  <c r="H25"/>
  <c r="F25"/>
  <c r="E25"/>
  <c r="I25" s="1"/>
  <c r="F26" i="10" s="1"/>
  <c r="H24" i="7"/>
  <c r="H23" s="1"/>
  <c r="F24"/>
  <c r="F23" s="1"/>
  <c r="E24"/>
  <c r="E23" s="1"/>
  <c r="H22"/>
  <c r="G21"/>
  <c r="F22"/>
  <c r="F21" s="1"/>
  <c r="E22"/>
  <c r="I22" s="1"/>
  <c r="F23" i="10" s="1"/>
  <c r="I20" i="7"/>
  <c r="E20"/>
  <c r="H19"/>
  <c r="H16" s="1"/>
  <c r="F19"/>
  <c r="E19"/>
  <c r="I19" s="1"/>
  <c r="F20" i="10" s="1"/>
  <c r="N20" s="1"/>
  <c r="I18" i="7"/>
  <c r="F19" i="10" s="1"/>
  <c r="N19" s="1"/>
  <c r="I17" i="7"/>
  <c r="F18" i="10" s="1"/>
  <c r="N18" s="1"/>
  <c r="G16" i="7"/>
  <c r="F16"/>
  <c r="E16"/>
  <c r="H15"/>
  <c r="F15"/>
  <c r="E15"/>
  <c r="I15" s="1"/>
  <c r="F16" i="10" s="1"/>
  <c r="H14" i="7"/>
  <c r="H13" s="1"/>
  <c r="G13"/>
  <c r="F14"/>
  <c r="E14"/>
  <c r="E13" s="1"/>
  <c r="I13" s="1"/>
  <c r="F14" i="10" s="1"/>
  <c r="F13" i="7"/>
  <c r="H12"/>
  <c r="G11"/>
  <c r="G9" s="1"/>
  <c r="F12"/>
  <c r="F11" s="1"/>
  <c r="F9" s="1"/>
  <c r="F5" s="1"/>
  <c r="E12"/>
  <c r="I12" s="1"/>
  <c r="F13" i="10" s="1"/>
  <c r="N13" s="1"/>
  <c r="H11" i="7"/>
  <c r="H9" s="1"/>
  <c r="I10"/>
  <c r="F11" i="10" s="1"/>
  <c r="N11" s="1"/>
  <c r="I8" i="7"/>
  <c r="F9" i="10" s="1"/>
  <c r="I7" i="7"/>
  <c r="F8" i="10" s="1"/>
  <c r="H6" i="7"/>
  <c r="G6"/>
  <c r="F6"/>
  <c r="E6"/>
  <c r="J75" i="6"/>
  <c r="J74"/>
  <c r="J73"/>
  <c r="J72"/>
  <c r="J71"/>
  <c r="J70"/>
  <c r="J69"/>
  <c r="I68"/>
  <c r="H68"/>
  <c r="G68"/>
  <c r="F68"/>
  <c r="J68" s="1"/>
  <c r="E68"/>
  <c r="J67"/>
  <c r="J66"/>
  <c r="J65"/>
  <c r="J64"/>
  <c r="I63"/>
  <c r="I50" s="1"/>
  <c r="I49" s="1"/>
  <c r="H63"/>
  <c r="G63"/>
  <c r="F63"/>
  <c r="J63" s="1"/>
  <c r="E63"/>
  <c r="E50" s="1"/>
  <c r="J62"/>
  <c r="J61"/>
  <c r="I60"/>
  <c r="H60"/>
  <c r="G60"/>
  <c r="F60"/>
  <c r="J60" s="1"/>
  <c r="E60"/>
  <c r="J59"/>
  <c r="I58"/>
  <c r="I57" s="1"/>
  <c r="I56" s="1"/>
  <c r="H58"/>
  <c r="H57" s="1"/>
  <c r="H56" s="1"/>
  <c r="G58"/>
  <c r="F58"/>
  <c r="E58"/>
  <c r="E57" s="1"/>
  <c r="G57"/>
  <c r="G56" s="1"/>
  <c r="F57"/>
  <c r="F56" s="1"/>
  <c r="J55"/>
  <c r="I54"/>
  <c r="H54"/>
  <c r="G54"/>
  <c r="F54"/>
  <c r="J54" s="1"/>
  <c r="E54"/>
  <c r="I53"/>
  <c r="I52" s="1"/>
  <c r="H53"/>
  <c r="G53"/>
  <c r="F53"/>
  <c r="F52" s="1"/>
  <c r="F40" s="1"/>
  <c r="E53"/>
  <c r="J53" s="1"/>
  <c r="H52"/>
  <c r="G52"/>
  <c r="I51"/>
  <c r="H51"/>
  <c r="G51"/>
  <c r="F51"/>
  <c r="E51"/>
  <c r="J51" s="1"/>
  <c r="H50"/>
  <c r="H49" s="1"/>
  <c r="G50"/>
  <c r="G49" s="1"/>
  <c r="F50"/>
  <c r="F49"/>
  <c r="I48"/>
  <c r="H48"/>
  <c r="H47" s="1"/>
  <c r="G48"/>
  <c r="G47" s="1"/>
  <c r="F48"/>
  <c r="J48" s="1"/>
  <c r="E48"/>
  <c r="I47"/>
  <c r="F47"/>
  <c r="E47"/>
  <c r="I46"/>
  <c r="H46"/>
  <c r="H45" s="1"/>
  <c r="G46"/>
  <c r="G45" s="1"/>
  <c r="F46"/>
  <c r="J46" s="1"/>
  <c r="E46"/>
  <c r="I45"/>
  <c r="F45"/>
  <c r="E45"/>
  <c r="H44"/>
  <c r="H43" s="1"/>
  <c r="H40" s="1"/>
  <c r="G44"/>
  <c r="G43" s="1"/>
  <c r="G40" s="1"/>
  <c r="F44"/>
  <c r="F43"/>
  <c r="J42"/>
  <c r="J41"/>
  <c r="J39"/>
  <c r="I38"/>
  <c r="H38"/>
  <c r="G38"/>
  <c r="F38"/>
  <c r="E38"/>
  <c r="J38" s="1"/>
  <c r="J37"/>
  <c r="I36"/>
  <c r="H36"/>
  <c r="G36"/>
  <c r="F36"/>
  <c r="J36" s="1"/>
  <c r="E36"/>
  <c r="J35"/>
  <c r="I34"/>
  <c r="H34"/>
  <c r="G34"/>
  <c r="G33" s="1"/>
  <c r="F34"/>
  <c r="F33" s="1"/>
  <c r="E34"/>
  <c r="J34" s="1"/>
  <c r="I33"/>
  <c r="H33"/>
  <c r="E33"/>
  <c r="J32"/>
  <c r="J31"/>
  <c r="I30"/>
  <c r="I29" s="1"/>
  <c r="H30"/>
  <c r="H29" s="1"/>
  <c r="G30"/>
  <c r="F30"/>
  <c r="E30"/>
  <c r="E29" s="1"/>
  <c r="J29" s="1"/>
  <c r="G29"/>
  <c r="F29"/>
  <c r="I28"/>
  <c r="I27" s="1"/>
  <c r="H28"/>
  <c r="H27" s="1"/>
  <c r="G28"/>
  <c r="F28"/>
  <c r="E28"/>
  <c r="E27" s="1"/>
  <c r="G27"/>
  <c r="F27"/>
  <c r="I26"/>
  <c r="H26"/>
  <c r="G26"/>
  <c r="F26"/>
  <c r="E26"/>
  <c r="J26" s="1"/>
  <c r="I25"/>
  <c r="H25"/>
  <c r="G25"/>
  <c r="G24" s="1"/>
  <c r="F25"/>
  <c r="F24" s="1"/>
  <c r="E25"/>
  <c r="J25" s="1"/>
  <c r="I24"/>
  <c r="H24"/>
  <c r="E24"/>
  <c r="J24" s="1"/>
  <c r="I23"/>
  <c r="H23"/>
  <c r="G23"/>
  <c r="G22" s="1"/>
  <c r="F23"/>
  <c r="F22" s="1"/>
  <c r="E23"/>
  <c r="J23" s="1"/>
  <c r="I22"/>
  <c r="H22"/>
  <c r="E22"/>
  <c r="J22" s="1"/>
  <c r="J21"/>
  <c r="I20"/>
  <c r="H20"/>
  <c r="G20"/>
  <c r="F20"/>
  <c r="J20" s="1"/>
  <c r="E20"/>
  <c r="J19"/>
  <c r="J18"/>
  <c r="I17"/>
  <c r="H17"/>
  <c r="G17"/>
  <c r="F17"/>
  <c r="J17" s="1"/>
  <c r="E17"/>
  <c r="I16"/>
  <c r="H16"/>
  <c r="G16"/>
  <c r="F16"/>
  <c r="E16"/>
  <c r="J16" s="1"/>
  <c r="I15"/>
  <c r="H15"/>
  <c r="G15"/>
  <c r="G14" s="1"/>
  <c r="F15"/>
  <c r="J15" s="1"/>
  <c r="E15"/>
  <c r="I14"/>
  <c r="H14"/>
  <c r="F14"/>
  <c r="E14"/>
  <c r="I13"/>
  <c r="H13"/>
  <c r="G13"/>
  <c r="G12" s="1"/>
  <c r="G10" s="1"/>
  <c r="F13"/>
  <c r="J13" s="1"/>
  <c r="E13"/>
  <c r="I12"/>
  <c r="H12"/>
  <c r="H10" s="1"/>
  <c r="F12"/>
  <c r="E12"/>
  <c r="J11"/>
  <c r="I10"/>
  <c r="E10"/>
  <c r="J9"/>
  <c r="J8"/>
  <c r="I7"/>
  <c r="H7"/>
  <c r="G7"/>
  <c r="F7"/>
  <c r="E7"/>
  <c r="J7" s="1"/>
  <c r="Q74" i="5"/>
  <c r="Q73"/>
  <c r="Q72"/>
  <c r="Q71"/>
  <c r="Q70"/>
  <c r="Q69"/>
  <c r="Q68"/>
  <c r="P67"/>
  <c r="O67"/>
  <c r="N67"/>
  <c r="M67"/>
  <c r="L67"/>
  <c r="K67"/>
  <c r="J67"/>
  <c r="I67"/>
  <c r="H67"/>
  <c r="G67"/>
  <c r="F67"/>
  <c r="E67"/>
  <c r="Q67" s="1"/>
  <c r="Q66"/>
  <c r="Q65"/>
  <c r="Q64"/>
  <c r="Q63"/>
  <c r="P62"/>
  <c r="O62"/>
  <c r="N62"/>
  <c r="M62"/>
  <c r="M43" s="1"/>
  <c r="M42" s="1"/>
  <c r="L62"/>
  <c r="K62"/>
  <c r="J62"/>
  <c r="I62"/>
  <c r="I43" s="1"/>
  <c r="I42" s="1"/>
  <c r="H62"/>
  <c r="G62"/>
  <c r="F62"/>
  <c r="E62"/>
  <c r="E43" s="1"/>
  <c r="Q61"/>
  <c r="Q60"/>
  <c r="P59"/>
  <c r="O59"/>
  <c r="N59"/>
  <c r="M59"/>
  <c r="L59"/>
  <c r="K59"/>
  <c r="J59"/>
  <c r="I59"/>
  <c r="H59"/>
  <c r="G59"/>
  <c r="F59"/>
  <c r="E59"/>
  <c r="Q59" s="1"/>
  <c r="Q58"/>
  <c r="P57"/>
  <c r="O57"/>
  <c r="N57"/>
  <c r="N56" s="1"/>
  <c r="N55" s="1"/>
  <c r="M57"/>
  <c r="L57"/>
  <c r="K57"/>
  <c r="J57"/>
  <c r="J56" s="1"/>
  <c r="J55" s="1"/>
  <c r="I57"/>
  <c r="H57"/>
  <c r="G57"/>
  <c r="F57"/>
  <c r="F56" s="1"/>
  <c r="F55" s="1"/>
  <c r="E57"/>
  <c r="Q57" s="1"/>
  <c r="P56"/>
  <c r="O56"/>
  <c r="O55" s="1"/>
  <c r="M56"/>
  <c r="L56"/>
  <c r="K56"/>
  <c r="K55" s="1"/>
  <c r="I56"/>
  <c r="H56"/>
  <c r="G56"/>
  <c r="G55" s="1"/>
  <c r="E56"/>
  <c r="Q56" s="1"/>
  <c r="P55"/>
  <c r="M55"/>
  <c r="L55"/>
  <c r="I55"/>
  <c r="H55"/>
  <c r="E55"/>
  <c r="Q54"/>
  <c r="P53"/>
  <c r="O53"/>
  <c r="N53"/>
  <c r="M53"/>
  <c r="L53"/>
  <c r="K53"/>
  <c r="J53"/>
  <c r="I53"/>
  <c r="H53"/>
  <c r="G53"/>
  <c r="F53"/>
  <c r="E53"/>
  <c r="Q53" s="1"/>
  <c r="O52"/>
  <c r="O51" s="1"/>
  <c r="K52"/>
  <c r="K51" s="1"/>
  <c r="J52"/>
  <c r="I52"/>
  <c r="H52"/>
  <c r="G52"/>
  <c r="G51" s="1"/>
  <c r="E52"/>
  <c r="J51"/>
  <c r="I51"/>
  <c r="H51"/>
  <c r="E51"/>
  <c r="P50"/>
  <c r="O50"/>
  <c r="N50"/>
  <c r="M50"/>
  <c r="L50"/>
  <c r="K50"/>
  <c r="J50"/>
  <c r="I50"/>
  <c r="H50"/>
  <c r="G50"/>
  <c r="F50"/>
  <c r="E50"/>
  <c r="Q50" s="1"/>
  <c r="P49"/>
  <c r="O49"/>
  <c r="N49"/>
  <c r="N48" s="1"/>
  <c r="L49"/>
  <c r="K49"/>
  <c r="J49"/>
  <c r="J48" s="1"/>
  <c r="H49"/>
  <c r="G49"/>
  <c r="F49"/>
  <c r="F48" s="1"/>
  <c r="P48"/>
  <c r="O48"/>
  <c r="L48"/>
  <c r="K48"/>
  <c r="H48"/>
  <c r="G48"/>
  <c r="P47"/>
  <c r="P46" s="1"/>
  <c r="O47"/>
  <c r="N47"/>
  <c r="M47"/>
  <c r="L47"/>
  <c r="L46" s="1"/>
  <c r="K47"/>
  <c r="J47"/>
  <c r="I47"/>
  <c r="H47"/>
  <c r="H46" s="1"/>
  <c r="G47"/>
  <c r="F47"/>
  <c r="E47"/>
  <c r="Q47" s="1"/>
  <c r="O46"/>
  <c r="N46"/>
  <c r="M46"/>
  <c r="K46"/>
  <c r="J46"/>
  <c r="I46"/>
  <c r="G46"/>
  <c r="F46"/>
  <c r="E46"/>
  <c r="Q46" s="1"/>
  <c r="P45"/>
  <c r="O45"/>
  <c r="N45"/>
  <c r="N44" s="1"/>
  <c r="M45"/>
  <c r="L45"/>
  <c r="K45"/>
  <c r="J45"/>
  <c r="J44" s="1"/>
  <c r="I45"/>
  <c r="H45"/>
  <c r="G45"/>
  <c r="F45"/>
  <c r="F44" s="1"/>
  <c r="E45"/>
  <c r="Q45" s="1"/>
  <c r="P44"/>
  <c r="O44"/>
  <c r="O39" s="1"/>
  <c r="M44"/>
  <c r="L44"/>
  <c r="K44"/>
  <c r="K39" s="1"/>
  <c r="I44"/>
  <c r="H44"/>
  <c r="G44"/>
  <c r="E44"/>
  <c r="P43"/>
  <c r="P42" s="1"/>
  <c r="O43"/>
  <c r="N43"/>
  <c r="L43"/>
  <c r="L42" s="1"/>
  <c r="K43"/>
  <c r="J43"/>
  <c r="H43"/>
  <c r="H42" s="1"/>
  <c r="H39" s="1"/>
  <c r="G43"/>
  <c r="F43"/>
  <c r="O42"/>
  <c r="N42"/>
  <c r="K42"/>
  <c r="J42"/>
  <c r="G42"/>
  <c r="F42"/>
  <c r="J41"/>
  <c r="H41"/>
  <c r="G41"/>
  <c r="E41"/>
  <c r="P40"/>
  <c r="P41" s="1"/>
  <c r="L40"/>
  <c r="L41" s="1"/>
  <c r="F40"/>
  <c r="F41" s="1"/>
  <c r="Q38"/>
  <c r="P37"/>
  <c r="O37"/>
  <c r="N37"/>
  <c r="M37"/>
  <c r="L37"/>
  <c r="K37"/>
  <c r="J37"/>
  <c r="I37"/>
  <c r="H37"/>
  <c r="G37"/>
  <c r="F37"/>
  <c r="E37"/>
  <c r="Q37" s="1"/>
  <c r="Q36"/>
  <c r="P35"/>
  <c r="O35"/>
  <c r="N35"/>
  <c r="N32" s="1"/>
  <c r="M35"/>
  <c r="L35"/>
  <c r="K35"/>
  <c r="J35"/>
  <c r="J32" s="1"/>
  <c r="I35"/>
  <c r="H35"/>
  <c r="G35"/>
  <c r="F35"/>
  <c r="F32" s="1"/>
  <c r="E35"/>
  <c r="Q35" s="1"/>
  <c r="N34"/>
  <c r="M34"/>
  <c r="M33" s="1"/>
  <c r="M32" s="1"/>
  <c r="F34"/>
  <c r="Q34" s="1"/>
  <c r="P33"/>
  <c r="O33"/>
  <c r="O32" s="1"/>
  <c r="N33"/>
  <c r="L33"/>
  <c r="K33"/>
  <c r="K32" s="1"/>
  <c r="J33"/>
  <c r="I33"/>
  <c r="H33"/>
  <c r="G33"/>
  <c r="G32" s="1"/>
  <c r="F33"/>
  <c r="E33"/>
  <c r="Q33" s="1"/>
  <c r="P32"/>
  <c r="L32"/>
  <c r="I32"/>
  <c r="H32"/>
  <c r="E32"/>
  <c r="Q31"/>
  <c r="P30"/>
  <c r="P52" s="1"/>
  <c r="P51" s="1"/>
  <c r="N30"/>
  <c r="N52" s="1"/>
  <c r="N51" s="1"/>
  <c r="M30"/>
  <c r="M29" s="1"/>
  <c r="M28" s="1"/>
  <c r="L30"/>
  <c r="L52" s="1"/>
  <c r="L51" s="1"/>
  <c r="F30"/>
  <c r="F52" s="1"/>
  <c r="F51" s="1"/>
  <c r="P29"/>
  <c r="P28" s="1"/>
  <c r="O29"/>
  <c r="N29"/>
  <c r="L29"/>
  <c r="L28" s="1"/>
  <c r="K29"/>
  <c r="J29"/>
  <c r="I29"/>
  <c r="H29"/>
  <c r="H28" s="1"/>
  <c r="G29"/>
  <c r="F29"/>
  <c r="E29"/>
  <c r="Q29" s="1"/>
  <c r="O28"/>
  <c r="N28"/>
  <c r="K28"/>
  <c r="J28"/>
  <c r="I28"/>
  <c r="G28"/>
  <c r="F28"/>
  <c r="E28"/>
  <c r="P27"/>
  <c r="O27"/>
  <c r="N27"/>
  <c r="N26" s="1"/>
  <c r="L27"/>
  <c r="K27"/>
  <c r="J27"/>
  <c r="J26" s="1"/>
  <c r="I27"/>
  <c r="H27"/>
  <c r="G27"/>
  <c r="F27"/>
  <c r="F26" s="1"/>
  <c r="E27"/>
  <c r="P26"/>
  <c r="O26"/>
  <c r="L26"/>
  <c r="K26"/>
  <c r="I26"/>
  <c r="H26"/>
  <c r="G26"/>
  <c r="E26"/>
  <c r="P25"/>
  <c r="P23" s="1"/>
  <c r="P21" s="1"/>
  <c r="O25"/>
  <c r="N25"/>
  <c r="L25"/>
  <c r="L23" s="1"/>
  <c r="L21" s="1"/>
  <c r="K25"/>
  <c r="J25"/>
  <c r="I25"/>
  <c r="H25"/>
  <c r="H23" s="1"/>
  <c r="H21" s="1"/>
  <c r="G25"/>
  <c r="F25"/>
  <c r="E25"/>
  <c r="P24"/>
  <c r="O24"/>
  <c r="N24"/>
  <c r="M24"/>
  <c r="L24"/>
  <c r="K24"/>
  <c r="J24"/>
  <c r="I24"/>
  <c r="I23" s="1"/>
  <c r="I21" s="1"/>
  <c r="H24"/>
  <c r="G24"/>
  <c r="F24"/>
  <c r="E24"/>
  <c r="E23" s="1"/>
  <c r="O23"/>
  <c r="N23"/>
  <c r="N21" s="1"/>
  <c r="K23"/>
  <c r="J23"/>
  <c r="J21" s="1"/>
  <c r="G23"/>
  <c r="F23"/>
  <c r="P22"/>
  <c r="O22"/>
  <c r="O21" s="1"/>
  <c r="N22"/>
  <c r="L22"/>
  <c r="K22"/>
  <c r="K21" s="1"/>
  <c r="J22"/>
  <c r="I22"/>
  <c r="H22"/>
  <c r="G22"/>
  <c r="G21" s="1"/>
  <c r="F22"/>
  <c r="F21" s="1"/>
  <c r="E22"/>
  <c r="Q20"/>
  <c r="H20"/>
  <c r="G20"/>
  <c r="E20"/>
  <c r="P19"/>
  <c r="O19"/>
  <c r="N19"/>
  <c r="M19"/>
  <c r="M16" s="1"/>
  <c r="L19"/>
  <c r="K19"/>
  <c r="J19"/>
  <c r="I19"/>
  <c r="I16" s="1"/>
  <c r="H19"/>
  <c r="G19"/>
  <c r="F19"/>
  <c r="E19"/>
  <c r="E16" s="1"/>
  <c r="Q18"/>
  <c r="Q17"/>
  <c r="P16"/>
  <c r="O16"/>
  <c r="N16"/>
  <c r="L16"/>
  <c r="K16"/>
  <c r="J16"/>
  <c r="H16"/>
  <c r="G16"/>
  <c r="F16"/>
  <c r="P15"/>
  <c r="O15"/>
  <c r="N15"/>
  <c r="M15"/>
  <c r="L15"/>
  <c r="K15"/>
  <c r="J15"/>
  <c r="I15"/>
  <c r="I13" s="1"/>
  <c r="H15"/>
  <c r="G15"/>
  <c r="F15"/>
  <c r="E15"/>
  <c r="E13" s="1"/>
  <c r="P14"/>
  <c r="O14"/>
  <c r="N14"/>
  <c r="N13" s="1"/>
  <c r="N5" s="1"/>
  <c r="L14"/>
  <c r="K14"/>
  <c r="J14"/>
  <c r="J13" s="1"/>
  <c r="I14"/>
  <c r="H14"/>
  <c r="G14"/>
  <c r="F14"/>
  <c r="F13" s="1"/>
  <c r="E14"/>
  <c r="P13"/>
  <c r="O13"/>
  <c r="L13"/>
  <c r="K13"/>
  <c r="H13"/>
  <c r="G13"/>
  <c r="P12"/>
  <c r="P11" s="1"/>
  <c r="P9" s="1"/>
  <c r="O12"/>
  <c r="N12"/>
  <c r="M12"/>
  <c r="L12"/>
  <c r="L11" s="1"/>
  <c r="L9" s="1"/>
  <c r="K12"/>
  <c r="J12"/>
  <c r="I12"/>
  <c r="H12"/>
  <c r="H11" s="1"/>
  <c r="H9" s="1"/>
  <c r="H5" s="1"/>
  <c r="H4" s="1"/>
  <c r="G12"/>
  <c r="F12"/>
  <c r="E12"/>
  <c r="Q12" s="1"/>
  <c r="O11"/>
  <c r="N11"/>
  <c r="M11"/>
  <c r="M9" s="1"/>
  <c r="K11"/>
  <c r="J11"/>
  <c r="I11"/>
  <c r="I9" s="1"/>
  <c r="I5" s="1"/>
  <c r="G11"/>
  <c r="F11"/>
  <c r="E11"/>
  <c r="E9" s="1"/>
  <c r="F10"/>
  <c r="Q10" s="1"/>
  <c r="O9"/>
  <c r="N9"/>
  <c r="K9"/>
  <c r="J9"/>
  <c r="G9"/>
  <c r="F9"/>
  <c r="P8"/>
  <c r="N8"/>
  <c r="M8"/>
  <c r="L8"/>
  <c r="L6" s="1"/>
  <c r="F8"/>
  <c r="E8"/>
  <c r="P7"/>
  <c r="P6" s="1"/>
  <c r="N7"/>
  <c r="M7"/>
  <c r="L7"/>
  <c r="F7"/>
  <c r="F6" s="1"/>
  <c r="F5" s="1"/>
  <c r="E7"/>
  <c r="Q7" s="1"/>
  <c r="O6"/>
  <c r="O5" s="1"/>
  <c r="O4" s="1"/>
  <c r="N6"/>
  <c r="M6"/>
  <c r="K6"/>
  <c r="J6"/>
  <c r="I6"/>
  <c r="H6"/>
  <c r="G6"/>
  <c r="E6"/>
  <c r="Q6" s="1"/>
  <c r="X74" i="4"/>
  <c r="X73"/>
  <c r="X72"/>
  <c r="X71"/>
  <c r="X70"/>
  <c r="X69"/>
  <c r="X68"/>
  <c r="W67"/>
  <c r="V67"/>
  <c r="U67"/>
  <c r="T67"/>
  <c r="S67"/>
  <c r="R67"/>
  <c r="Q67"/>
  <c r="P67"/>
  <c r="O67"/>
  <c r="N67"/>
  <c r="M67"/>
  <c r="L67"/>
  <c r="K67"/>
  <c r="J67"/>
  <c r="I67"/>
  <c r="H67"/>
  <c r="G67"/>
  <c r="F67"/>
  <c r="E67"/>
  <c r="X67" s="1"/>
  <c r="X66"/>
  <c r="X65"/>
  <c r="X64"/>
  <c r="X63"/>
  <c r="W62"/>
  <c r="V62"/>
  <c r="U62"/>
  <c r="T62"/>
  <c r="S62"/>
  <c r="R62"/>
  <c r="Q62"/>
  <c r="P62"/>
  <c r="O62"/>
  <c r="N62"/>
  <c r="M62"/>
  <c r="L62"/>
  <c r="K62"/>
  <c r="J62"/>
  <c r="I62"/>
  <c r="H62"/>
  <c r="G62"/>
  <c r="F62"/>
  <c r="E62"/>
  <c r="X62" s="1"/>
  <c r="X61"/>
  <c r="X60"/>
  <c r="W59"/>
  <c r="V59"/>
  <c r="U59"/>
  <c r="T59"/>
  <c r="S59"/>
  <c r="R59"/>
  <c r="Q59"/>
  <c r="P59"/>
  <c r="O59"/>
  <c r="N59"/>
  <c r="M59"/>
  <c r="L59"/>
  <c r="K59"/>
  <c r="J59"/>
  <c r="I59"/>
  <c r="H59"/>
  <c r="X59" s="1"/>
  <c r="G59"/>
  <c r="F59"/>
  <c r="E59"/>
  <c r="X58"/>
  <c r="W57"/>
  <c r="V57"/>
  <c r="U57"/>
  <c r="T57"/>
  <c r="S57"/>
  <c r="R57"/>
  <c r="Q57"/>
  <c r="P57"/>
  <c r="O57"/>
  <c r="N57"/>
  <c r="M57"/>
  <c r="L57"/>
  <c r="K57"/>
  <c r="J57"/>
  <c r="I57"/>
  <c r="H57"/>
  <c r="G57"/>
  <c r="F57"/>
  <c r="E57"/>
  <c r="X57" s="1"/>
  <c r="W56"/>
  <c r="V56"/>
  <c r="U56"/>
  <c r="T56"/>
  <c r="S56"/>
  <c r="R56"/>
  <c r="Q56"/>
  <c r="P56"/>
  <c r="O56"/>
  <c r="N56"/>
  <c r="M56"/>
  <c r="L56"/>
  <c r="K56"/>
  <c r="J56"/>
  <c r="I56"/>
  <c r="H56"/>
  <c r="G56"/>
  <c r="F56"/>
  <c r="E56"/>
  <c r="X56" s="1"/>
  <c r="W55"/>
  <c r="V55"/>
  <c r="U55"/>
  <c r="T55"/>
  <c r="S55"/>
  <c r="R55"/>
  <c r="Q55"/>
  <c r="P55"/>
  <c r="O55"/>
  <c r="N55"/>
  <c r="M55"/>
  <c r="L55"/>
  <c r="K55"/>
  <c r="J55"/>
  <c r="I55"/>
  <c r="H55"/>
  <c r="G55"/>
  <c r="F55"/>
  <c r="E55"/>
  <c r="X55" s="1"/>
  <c r="X54"/>
  <c r="W53"/>
  <c r="V53"/>
  <c r="U53"/>
  <c r="T53"/>
  <c r="S53"/>
  <c r="R53"/>
  <c r="Q53"/>
  <c r="P53"/>
  <c r="O53"/>
  <c r="N53"/>
  <c r="M53"/>
  <c r="L53"/>
  <c r="K53"/>
  <c r="J53"/>
  <c r="I53"/>
  <c r="H53"/>
  <c r="G53"/>
  <c r="F53"/>
  <c r="E53"/>
  <c r="X53" s="1"/>
  <c r="W52"/>
  <c r="R52"/>
  <c r="Q52"/>
  <c r="J52"/>
  <c r="G52"/>
  <c r="E52"/>
  <c r="W51"/>
  <c r="R51"/>
  <c r="Q51"/>
  <c r="J51"/>
  <c r="G51"/>
  <c r="E51"/>
  <c r="W50"/>
  <c r="V50"/>
  <c r="U50"/>
  <c r="T50"/>
  <c r="S50"/>
  <c r="R50"/>
  <c r="Q50"/>
  <c r="P50"/>
  <c r="O50"/>
  <c r="N50"/>
  <c r="M50"/>
  <c r="L50"/>
  <c r="K50"/>
  <c r="J50"/>
  <c r="I50"/>
  <c r="H50"/>
  <c r="G50"/>
  <c r="F50"/>
  <c r="E50"/>
  <c r="X50" s="1"/>
  <c r="W49"/>
  <c r="V49"/>
  <c r="U49"/>
  <c r="T49"/>
  <c r="S49"/>
  <c r="R49"/>
  <c r="Q49"/>
  <c r="P49"/>
  <c r="O49"/>
  <c r="N49"/>
  <c r="M49"/>
  <c r="L49"/>
  <c r="K49"/>
  <c r="J49"/>
  <c r="I49"/>
  <c r="H49"/>
  <c r="G49"/>
  <c r="F49"/>
  <c r="E49"/>
  <c r="X49" s="1"/>
  <c r="W48"/>
  <c r="V48"/>
  <c r="U48"/>
  <c r="T48"/>
  <c r="S48"/>
  <c r="R48"/>
  <c r="Q48"/>
  <c r="P48"/>
  <c r="O48"/>
  <c r="N48"/>
  <c r="M48"/>
  <c r="L48"/>
  <c r="K48"/>
  <c r="J48"/>
  <c r="I48"/>
  <c r="H48"/>
  <c r="G48"/>
  <c r="F48"/>
  <c r="E48"/>
  <c r="X48" s="1"/>
  <c r="W47"/>
  <c r="V47"/>
  <c r="U47"/>
  <c r="T47"/>
  <c r="S47"/>
  <c r="R47"/>
  <c r="Q47"/>
  <c r="P47"/>
  <c r="O47"/>
  <c r="N47"/>
  <c r="M47"/>
  <c r="L47"/>
  <c r="K47"/>
  <c r="J47"/>
  <c r="I47"/>
  <c r="H47"/>
  <c r="G47"/>
  <c r="F47"/>
  <c r="E47"/>
  <c r="X47" s="1"/>
  <c r="W46"/>
  <c r="V46"/>
  <c r="U46"/>
  <c r="T46"/>
  <c r="S46"/>
  <c r="R46"/>
  <c r="Q46"/>
  <c r="P46"/>
  <c r="O46"/>
  <c r="N46"/>
  <c r="M46"/>
  <c r="L46"/>
  <c r="K46"/>
  <c r="J46"/>
  <c r="I46"/>
  <c r="H46"/>
  <c r="G46"/>
  <c r="F46"/>
  <c r="E46"/>
  <c r="X46" s="1"/>
  <c r="W45"/>
  <c r="V45"/>
  <c r="U45"/>
  <c r="T45"/>
  <c r="S45"/>
  <c r="R45"/>
  <c r="Q45"/>
  <c r="P45"/>
  <c r="O45"/>
  <c r="N45"/>
  <c r="M45"/>
  <c r="L45"/>
  <c r="K45"/>
  <c r="J45"/>
  <c r="I45"/>
  <c r="H45"/>
  <c r="G45"/>
  <c r="F45"/>
  <c r="E45"/>
  <c r="X45" s="1"/>
  <c r="W44"/>
  <c r="V44"/>
  <c r="U44"/>
  <c r="T44"/>
  <c r="S44"/>
  <c r="R44"/>
  <c r="Q44"/>
  <c r="P44"/>
  <c r="O44"/>
  <c r="N44"/>
  <c r="M44"/>
  <c r="L44"/>
  <c r="K44"/>
  <c r="J44"/>
  <c r="I44"/>
  <c r="H44"/>
  <c r="G44"/>
  <c r="F44"/>
  <c r="E44"/>
  <c r="X44" s="1"/>
  <c r="W43"/>
  <c r="V43"/>
  <c r="U43"/>
  <c r="T43"/>
  <c r="S43"/>
  <c r="R43"/>
  <c r="Q43"/>
  <c r="P43"/>
  <c r="O43"/>
  <c r="N43"/>
  <c r="M43"/>
  <c r="L43"/>
  <c r="K43"/>
  <c r="J43"/>
  <c r="I43"/>
  <c r="H43"/>
  <c r="G43"/>
  <c r="F43"/>
  <c r="E43"/>
  <c r="X43" s="1"/>
  <c r="W42"/>
  <c r="V42"/>
  <c r="U42"/>
  <c r="T42"/>
  <c r="S42"/>
  <c r="R42"/>
  <c r="R39" s="1"/>
  <c r="Q42"/>
  <c r="P42"/>
  <c r="O42"/>
  <c r="N42"/>
  <c r="M42"/>
  <c r="L42"/>
  <c r="K42"/>
  <c r="J42"/>
  <c r="J39" s="1"/>
  <c r="I42"/>
  <c r="H42"/>
  <c r="G42"/>
  <c r="F42"/>
  <c r="E42"/>
  <c r="X42" s="1"/>
  <c r="X41"/>
  <c r="S40"/>
  <c r="W39"/>
  <c r="Q39"/>
  <c r="G39"/>
  <c r="E39"/>
  <c r="X38"/>
  <c r="W37"/>
  <c r="V37"/>
  <c r="U37"/>
  <c r="T37"/>
  <c r="S37"/>
  <c r="R37"/>
  <c r="Q37"/>
  <c r="P37"/>
  <c r="O37"/>
  <c r="N37"/>
  <c r="M37"/>
  <c r="L37"/>
  <c r="K37"/>
  <c r="J37"/>
  <c r="I37"/>
  <c r="H37"/>
  <c r="G37"/>
  <c r="F37"/>
  <c r="E37"/>
  <c r="X37" s="1"/>
  <c r="V36"/>
  <c r="U36"/>
  <c r="S36"/>
  <c r="S35" s="1"/>
  <c r="S32" s="1"/>
  <c r="O36"/>
  <c r="N36"/>
  <c r="M36"/>
  <c r="L36"/>
  <c r="K36"/>
  <c r="H36"/>
  <c r="F36"/>
  <c r="X36" s="1"/>
  <c r="W35"/>
  <c r="V35"/>
  <c r="U35"/>
  <c r="U32" s="1"/>
  <c r="T35"/>
  <c r="T32" s="1"/>
  <c r="R35"/>
  <c r="Q35"/>
  <c r="Q32" s="1"/>
  <c r="P35"/>
  <c r="P32" s="1"/>
  <c r="O35"/>
  <c r="N35"/>
  <c r="M35"/>
  <c r="L35"/>
  <c r="K35"/>
  <c r="J35"/>
  <c r="I35"/>
  <c r="H35"/>
  <c r="G35"/>
  <c r="E35"/>
  <c r="E32" s="1"/>
  <c r="V34"/>
  <c r="T34"/>
  <c r="N34"/>
  <c r="M34"/>
  <c r="M33" s="1"/>
  <c r="M32" s="1"/>
  <c r="L34"/>
  <c r="L33" s="1"/>
  <c r="L32" s="1"/>
  <c r="K34"/>
  <c r="I34"/>
  <c r="I33" s="1"/>
  <c r="I32" s="1"/>
  <c r="H34"/>
  <c r="X34" s="1"/>
  <c r="F34"/>
  <c r="W33"/>
  <c r="V33"/>
  <c r="U33"/>
  <c r="T33"/>
  <c r="S33"/>
  <c r="R33"/>
  <c r="Q33"/>
  <c r="P33"/>
  <c r="O33"/>
  <c r="N33"/>
  <c r="K33"/>
  <c r="J33"/>
  <c r="G33"/>
  <c r="F33"/>
  <c r="E33"/>
  <c r="W32"/>
  <c r="V32"/>
  <c r="R32"/>
  <c r="O32"/>
  <c r="N32"/>
  <c r="K32"/>
  <c r="J32"/>
  <c r="G32"/>
  <c r="X31"/>
  <c r="V30"/>
  <c r="V52" s="1"/>
  <c r="V51" s="1"/>
  <c r="U30"/>
  <c r="U52" s="1"/>
  <c r="U51" s="1"/>
  <c r="U39" s="1"/>
  <c r="T30"/>
  <c r="T52" s="1"/>
  <c r="T51" s="1"/>
  <c r="T39" s="1"/>
  <c r="S30"/>
  <c r="S52" s="1"/>
  <c r="S51" s="1"/>
  <c r="P30"/>
  <c r="P52" s="1"/>
  <c r="P51" s="1"/>
  <c r="P39" s="1"/>
  <c r="O30"/>
  <c r="O52" s="1"/>
  <c r="O51" s="1"/>
  <c r="O39" s="1"/>
  <c r="N30"/>
  <c r="N52" s="1"/>
  <c r="N51" s="1"/>
  <c r="M30"/>
  <c r="M52" s="1"/>
  <c r="M51" s="1"/>
  <c r="M39" s="1"/>
  <c r="L30"/>
  <c r="L52" s="1"/>
  <c r="L51" s="1"/>
  <c r="L39" s="1"/>
  <c r="K30"/>
  <c r="K52" s="1"/>
  <c r="K51" s="1"/>
  <c r="K39" s="1"/>
  <c r="I30"/>
  <c r="I52" s="1"/>
  <c r="I51" s="1"/>
  <c r="I39" s="1"/>
  <c r="H30"/>
  <c r="H52" s="1"/>
  <c r="H51" s="1"/>
  <c r="H39" s="1"/>
  <c r="F30"/>
  <c r="F52" s="1"/>
  <c r="F51" s="1"/>
  <c r="W29"/>
  <c r="V29"/>
  <c r="U29"/>
  <c r="T29"/>
  <c r="R29"/>
  <c r="Q29"/>
  <c r="N29"/>
  <c r="M29"/>
  <c r="J29"/>
  <c r="I29"/>
  <c r="G29"/>
  <c r="F29"/>
  <c r="E29"/>
  <c r="W28"/>
  <c r="V28"/>
  <c r="U28"/>
  <c r="T28"/>
  <c r="R28"/>
  <c r="Q28"/>
  <c r="N28"/>
  <c r="M28"/>
  <c r="J28"/>
  <c r="I28"/>
  <c r="G28"/>
  <c r="F28"/>
  <c r="E28"/>
  <c r="W27"/>
  <c r="V27"/>
  <c r="U27"/>
  <c r="T27"/>
  <c r="R27"/>
  <c r="Q27"/>
  <c r="P27"/>
  <c r="N27"/>
  <c r="M27"/>
  <c r="L27"/>
  <c r="J27"/>
  <c r="I27"/>
  <c r="H27"/>
  <c r="G27"/>
  <c r="F27"/>
  <c r="E27"/>
  <c r="W26"/>
  <c r="V26"/>
  <c r="U26"/>
  <c r="T26"/>
  <c r="R26"/>
  <c r="Q26"/>
  <c r="P26"/>
  <c r="N26"/>
  <c r="M26"/>
  <c r="L26"/>
  <c r="J26"/>
  <c r="I26"/>
  <c r="H26"/>
  <c r="G26"/>
  <c r="F26"/>
  <c r="E26"/>
  <c r="W25"/>
  <c r="V25"/>
  <c r="U25"/>
  <c r="T25"/>
  <c r="R25"/>
  <c r="Q25"/>
  <c r="P25"/>
  <c r="N25"/>
  <c r="M25"/>
  <c r="L25"/>
  <c r="J25"/>
  <c r="I25"/>
  <c r="H25"/>
  <c r="G25"/>
  <c r="F25"/>
  <c r="E25"/>
  <c r="W24"/>
  <c r="V24"/>
  <c r="U24"/>
  <c r="T24"/>
  <c r="R24"/>
  <c r="Q24"/>
  <c r="P24"/>
  <c r="O24"/>
  <c r="N24"/>
  <c r="M24"/>
  <c r="L24"/>
  <c r="K24"/>
  <c r="J24"/>
  <c r="I24"/>
  <c r="H24"/>
  <c r="G24"/>
  <c r="F24"/>
  <c r="E24"/>
  <c r="W23"/>
  <c r="V23"/>
  <c r="U23"/>
  <c r="T23"/>
  <c r="R23"/>
  <c r="Q23"/>
  <c r="P23"/>
  <c r="N23"/>
  <c r="M23"/>
  <c r="L23"/>
  <c r="J23"/>
  <c r="I23"/>
  <c r="H23"/>
  <c r="G23"/>
  <c r="F23"/>
  <c r="E23"/>
  <c r="W22"/>
  <c r="V22"/>
  <c r="U22"/>
  <c r="T22"/>
  <c r="S22"/>
  <c r="R22"/>
  <c r="Q22"/>
  <c r="P22"/>
  <c r="O22"/>
  <c r="N22"/>
  <c r="M22"/>
  <c r="L22"/>
  <c r="K22"/>
  <c r="J22"/>
  <c r="I22"/>
  <c r="H22"/>
  <c r="G22"/>
  <c r="F22"/>
  <c r="E22"/>
  <c r="X22" s="1"/>
  <c r="W21"/>
  <c r="V21"/>
  <c r="U21"/>
  <c r="T21"/>
  <c r="R21"/>
  <c r="Q21"/>
  <c r="P21"/>
  <c r="N21"/>
  <c r="M21"/>
  <c r="L21"/>
  <c r="J21"/>
  <c r="I21"/>
  <c r="H21"/>
  <c r="G21"/>
  <c r="F21"/>
  <c r="E21"/>
  <c r="T20"/>
  <c r="M20"/>
  <c r="L20"/>
  <c r="K20"/>
  <c r="J20"/>
  <c r="I20"/>
  <c r="H20"/>
  <c r="G20"/>
  <c r="F20"/>
  <c r="E20"/>
  <c r="X20" s="1"/>
  <c r="W19"/>
  <c r="V19"/>
  <c r="U19"/>
  <c r="U16" s="1"/>
  <c r="T19"/>
  <c r="S19"/>
  <c r="R19"/>
  <c r="Q19"/>
  <c r="Q16" s="1"/>
  <c r="P19"/>
  <c r="P16" s="1"/>
  <c r="O19"/>
  <c r="N19"/>
  <c r="M19"/>
  <c r="M16" s="1"/>
  <c r="L19"/>
  <c r="K19"/>
  <c r="J19"/>
  <c r="I19"/>
  <c r="I16" s="1"/>
  <c r="H19"/>
  <c r="G19"/>
  <c r="F19"/>
  <c r="E19"/>
  <c r="E16" s="1"/>
  <c r="V18"/>
  <c r="U18"/>
  <c r="T18"/>
  <c r="T16" s="1"/>
  <c r="T5" s="1"/>
  <c r="S18"/>
  <c r="N18"/>
  <c r="M18"/>
  <c r="L18"/>
  <c r="L16" s="1"/>
  <c r="H18"/>
  <c r="X18" s="1"/>
  <c r="X17"/>
  <c r="W16"/>
  <c r="V16"/>
  <c r="S16"/>
  <c r="R16"/>
  <c r="O16"/>
  <c r="N16"/>
  <c r="K16"/>
  <c r="J16"/>
  <c r="G16"/>
  <c r="F16"/>
  <c r="W15"/>
  <c r="V15"/>
  <c r="U15"/>
  <c r="T15"/>
  <c r="S15"/>
  <c r="R15"/>
  <c r="Q15"/>
  <c r="P15"/>
  <c r="O15"/>
  <c r="N15"/>
  <c r="M15"/>
  <c r="L15"/>
  <c r="K15"/>
  <c r="J15"/>
  <c r="I15"/>
  <c r="H15"/>
  <c r="G15"/>
  <c r="F15"/>
  <c r="E15"/>
  <c r="X15" s="1"/>
  <c r="W14"/>
  <c r="V14"/>
  <c r="U14"/>
  <c r="T14"/>
  <c r="S14"/>
  <c r="R14"/>
  <c r="Q14"/>
  <c r="P14"/>
  <c r="O14"/>
  <c r="N14"/>
  <c r="M14"/>
  <c r="L14"/>
  <c r="K14"/>
  <c r="J14"/>
  <c r="I14"/>
  <c r="H14"/>
  <c r="G14"/>
  <c r="F14"/>
  <c r="E14"/>
  <c r="X14" s="1"/>
  <c r="W13"/>
  <c r="V13"/>
  <c r="U13"/>
  <c r="T13"/>
  <c r="S13"/>
  <c r="R13"/>
  <c r="Q13"/>
  <c r="P13"/>
  <c r="O13"/>
  <c r="N13"/>
  <c r="M13"/>
  <c r="L13"/>
  <c r="K13"/>
  <c r="J13"/>
  <c r="I13"/>
  <c r="H13"/>
  <c r="G13"/>
  <c r="F13"/>
  <c r="E13"/>
  <c r="X13" s="1"/>
  <c r="W12"/>
  <c r="V12"/>
  <c r="U12"/>
  <c r="T12"/>
  <c r="S12"/>
  <c r="R12"/>
  <c r="Q12"/>
  <c r="P12"/>
  <c r="O12"/>
  <c r="N12"/>
  <c r="M12"/>
  <c r="L12"/>
  <c r="K12"/>
  <c r="J12"/>
  <c r="I12"/>
  <c r="H12"/>
  <c r="G12"/>
  <c r="F12"/>
  <c r="E12"/>
  <c r="X12" s="1"/>
  <c r="W11"/>
  <c r="V11"/>
  <c r="U11"/>
  <c r="T11"/>
  <c r="S11"/>
  <c r="R11"/>
  <c r="R9" s="1"/>
  <c r="R5" s="1"/>
  <c r="R4" s="1"/>
  <c r="Q11"/>
  <c r="Q9" s="1"/>
  <c r="Q5" s="1"/>
  <c r="Q4" s="1"/>
  <c r="P11"/>
  <c r="O11"/>
  <c r="N11"/>
  <c r="M11"/>
  <c r="L11"/>
  <c r="K11"/>
  <c r="J11"/>
  <c r="J9" s="1"/>
  <c r="J5" s="1"/>
  <c r="J4" s="1"/>
  <c r="I11"/>
  <c r="H11"/>
  <c r="G11"/>
  <c r="F11"/>
  <c r="F9" s="1"/>
  <c r="E11"/>
  <c r="X11" s="1"/>
  <c r="V10"/>
  <c r="V9" s="1"/>
  <c r="U10"/>
  <c r="U9" s="1"/>
  <c r="T10"/>
  <c r="S10"/>
  <c r="O10"/>
  <c r="N10"/>
  <c r="N9" s="1"/>
  <c r="M10"/>
  <c r="M9" s="1"/>
  <c r="L10"/>
  <c r="K10"/>
  <c r="I10"/>
  <c r="I9" s="1"/>
  <c r="H10"/>
  <c r="F10"/>
  <c r="X10" s="1"/>
  <c r="W9"/>
  <c r="T9"/>
  <c r="S9"/>
  <c r="P9"/>
  <c r="O9"/>
  <c r="L9"/>
  <c r="K9"/>
  <c r="H9"/>
  <c r="G9"/>
  <c r="V8"/>
  <c r="V6" s="1"/>
  <c r="U8"/>
  <c r="T8"/>
  <c r="S8"/>
  <c r="P8"/>
  <c r="O8"/>
  <c r="N8"/>
  <c r="M8"/>
  <c r="L8"/>
  <c r="K8"/>
  <c r="I8"/>
  <c r="H8"/>
  <c r="F8"/>
  <c r="F6" s="1"/>
  <c r="V7"/>
  <c r="U7"/>
  <c r="U6" s="1"/>
  <c r="U5" s="1"/>
  <c r="U4" s="1"/>
  <c r="T7"/>
  <c r="S7"/>
  <c r="P7"/>
  <c r="O7"/>
  <c r="N7"/>
  <c r="N6" s="1"/>
  <c r="M7"/>
  <c r="M6" s="1"/>
  <c r="M5" s="1"/>
  <c r="M4" s="1"/>
  <c r="L7"/>
  <c r="K7"/>
  <c r="I7"/>
  <c r="I6" s="1"/>
  <c r="H7"/>
  <c r="X7" s="1"/>
  <c r="F7"/>
  <c r="W6"/>
  <c r="T6"/>
  <c r="S6"/>
  <c r="R6"/>
  <c r="Q6"/>
  <c r="P6"/>
  <c r="O6"/>
  <c r="L6"/>
  <c r="K6"/>
  <c r="J6"/>
  <c r="H6"/>
  <c r="G6"/>
  <c r="E6"/>
  <c r="W5"/>
  <c r="G5"/>
  <c r="W4"/>
  <c r="G4"/>
  <c r="N74" i="3"/>
  <c r="N73"/>
  <c r="N72"/>
  <c r="N71"/>
  <c r="N70"/>
  <c r="N69"/>
  <c r="N68"/>
  <c r="M67"/>
  <c r="L67"/>
  <c r="K67"/>
  <c r="J67"/>
  <c r="I67"/>
  <c r="H67"/>
  <c r="G67"/>
  <c r="F67"/>
  <c r="N67" s="1"/>
  <c r="E67"/>
  <c r="N66"/>
  <c r="N65"/>
  <c r="N64"/>
  <c r="N63"/>
  <c r="M62"/>
  <c r="M49" s="1"/>
  <c r="M48" s="1"/>
  <c r="L62"/>
  <c r="K62"/>
  <c r="J62"/>
  <c r="I62"/>
  <c r="I49" s="1"/>
  <c r="I48" s="1"/>
  <c r="H62"/>
  <c r="G62"/>
  <c r="F62"/>
  <c r="N62" s="1"/>
  <c r="E62"/>
  <c r="E49" s="1"/>
  <c r="N61"/>
  <c r="N60"/>
  <c r="M59"/>
  <c r="L59"/>
  <c r="K59"/>
  <c r="J59"/>
  <c r="I59"/>
  <c r="H59"/>
  <c r="G59"/>
  <c r="F59"/>
  <c r="N59" s="1"/>
  <c r="E59"/>
  <c r="N58"/>
  <c r="M57"/>
  <c r="M56" s="1"/>
  <c r="M55" s="1"/>
  <c r="L57"/>
  <c r="L56" s="1"/>
  <c r="L55" s="1"/>
  <c r="K57"/>
  <c r="J57"/>
  <c r="I57"/>
  <c r="I56" s="1"/>
  <c r="I55" s="1"/>
  <c r="H57"/>
  <c r="H56" s="1"/>
  <c r="H55" s="1"/>
  <c r="G57"/>
  <c r="F57"/>
  <c r="E57"/>
  <c r="E56" s="1"/>
  <c r="K56"/>
  <c r="K55" s="1"/>
  <c r="J56"/>
  <c r="J55" s="1"/>
  <c r="G56"/>
  <c r="G55" s="1"/>
  <c r="F56"/>
  <c r="F55" s="1"/>
  <c r="N54"/>
  <c r="M53"/>
  <c r="L53"/>
  <c r="K53"/>
  <c r="J53"/>
  <c r="I53"/>
  <c r="H53"/>
  <c r="G53"/>
  <c r="F53"/>
  <c r="N53" s="1"/>
  <c r="E53"/>
  <c r="M52"/>
  <c r="M51" s="1"/>
  <c r="L52"/>
  <c r="K52"/>
  <c r="J52"/>
  <c r="J51" s="1"/>
  <c r="J39" s="1"/>
  <c r="I52"/>
  <c r="I51" s="1"/>
  <c r="H52"/>
  <c r="G52"/>
  <c r="F52"/>
  <c r="F51" s="1"/>
  <c r="E52"/>
  <c r="N52" s="1"/>
  <c r="L51"/>
  <c r="K51"/>
  <c r="H51"/>
  <c r="G51"/>
  <c r="M50"/>
  <c r="L50"/>
  <c r="K50"/>
  <c r="J50"/>
  <c r="I50"/>
  <c r="H50"/>
  <c r="G50"/>
  <c r="F50"/>
  <c r="E50"/>
  <c r="N50" s="1"/>
  <c r="L49"/>
  <c r="L48" s="1"/>
  <c r="K49"/>
  <c r="K48" s="1"/>
  <c r="J49"/>
  <c r="H49"/>
  <c r="H48" s="1"/>
  <c r="G49"/>
  <c r="G48" s="1"/>
  <c r="F49"/>
  <c r="J48"/>
  <c r="F48"/>
  <c r="M47"/>
  <c r="L47"/>
  <c r="L46" s="1"/>
  <c r="K47"/>
  <c r="K46" s="1"/>
  <c r="J47"/>
  <c r="I47"/>
  <c r="H47"/>
  <c r="H46" s="1"/>
  <c r="G47"/>
  <c r="G46" s="1"/>
  <c r="F47"/>
  <c r="N47" s="1"/>
  <c r="E47"/>
  <c r="M46"/>
  <c r="J46"/>
  <c r="I46"/>
  <c r="F46"/>
  <c r="E46"/>
  <c r="N46" s="1"/>
  <c r="M45"/>
  <c r="L45"/>
  <c r="L44" s="1"/>
  <c r="L39" s="1"/>
  <c r="K45"/>
  <c r="K44" s="1"/>
  <c r="J45"/>
  <c r="I45"/>
  <c r="H45"/>
  <c r="H44" s="1"/>
  <c r="H39" s="1"/>
  <c r="G45"/>
  <c r="G44" s="1"/>
  <c r="F45"/>
  <c r="N45" s="1"/>
  <c r="E45"/>
  <c r="M44"/>
  <c r="J44"/>
  <c r="I44"/>
  <c r="F44"/>
  <c r="E44"/>
  <c r="N44" s="1"/>
  <c r="L43"/>
  <c r="K43"/>
  <c r="K42" s="1"/>
  <c r="K39" s="1"/>
  <c r="J43"/>
  <c r="H43"/>
  <c r="G43"/>
  <c r="G42" s="1"/>
  <c r="G39" s="1"/>
  <c r="F43"/>
  <c r="L42"/>
  <c r="J42"/>
  <c r="H42"/>
  <c r="F42"/>
  <c r="N41"/>
  <c r="N40"/>
  <c r="N38"/>
  <c r="M37"/>
  <c r="L37"/>
  <c r="K37"/>
  <c r="J37"/>
  <c r="I37"/>
  <c r="H37"/>
  <c r="G37"/>
  <c r="F37"/>
  <c r="E37"/>
  <c r="N37" s="1"/>
  <c r="N36"/>
  <c r="M35"/>
  <c r="L35"/>
  <c r="K35"/>
  <c r="J35"/>
  <c r="I35"/>
  <c r="H35"/>
  <c r="G35"/>
  <c r="F35"/>
  <c r="N35" s="1"/>
  <c r="E35"/>
  <c r="N34"/>
  <c r="M33"/>
  <c r="L33"/>
  <c r="K33"/>
  <c r="J33"/>
  <c r="J32" s="1"/>
  <c r="I33"/>
  <c r="H33"/>
  <c r="G33"/>
  <c r="F33"/>
  <c r="F32" s="1"/>
  <c r="E33"/>
  <c r="N33" s="1"/>
  <c r="M32"/>
  <c r="L32"/>
  <c r="K32"/>
  <c r="I32"/>
  <c r="H32"/>
  <c r="G32"/>
  <c r="E32"/>
  <c r="N32" s="1"/>
  <c r="N31"/>
  <c r="N30"/>
  <c r="M29"/>
  <c r="L29"/>
  <c r="L28" s="1"/>
  <c r="K29"/>
  <c r="J29"/>
  <c r="I29"/>
  <c r="I28" s="1"/>
  <c r="H29"/>
  <c r="H28" s="1"/>
  <c r="G29"/>
  <c r="F29"/>
  <c r="E29"/>
  <c r="E28" s="1"/>
  <c r="N28" s="1"/>
  <c r="M28"/>
  <c r="K28"/>
  <c r="J28"/>
  <c r="G28"/>
  <c r="F28"/>
  <c r="M27"/>
  <c r="L27"/>
  <c r="L26" s="1"/>
  <c r="K27"/>
  <c r="J27"/>
  <c r="I27"/>
  <c r="I26" s="1"/>
  <c r="H27"/>
  <c r="H26" s="1"/>
  <c r="G27"/>
  <c r="F27"/>
  <c r="E27"/>
  <c r="E26" s="1"/>
  <c r="N26" s="1"/>
  <c r="M26"/>
  <c r="K26"/>
  <c r="J26"/>
  <c r="G26"/>
  <c r="F26"/>
  <c r="M25"/>
  <c r="L25"/>
  <c r="K25"/>
  <c r="J25"/>
  <c r="I25"/>
  <c r="H25"/>
  <c r="G25"/>
  <c r="F25"/>
  <c r="E25"/>
  <c r="N25" s="1"/>
  <c r="M24"/>
  <c r="L24"/>
  <c r="K24"/>
  <c r="J24"/>
  <c r="J23" s="1"/>
  <c r="I24"/>
  <c r="H24"/>
  <c r="G24"/>
  <c r="G23" s="1"/>
  <c r="G21" s="1"/>
  <c r="F24"/>
  <c r="F23" s="1"/>
  <c r="E24"/>
  <c r="N24" s="1"/>
  <c r="M23"/>
  <c r="L23"/>
  <c r="K23"/>
  <c r="I23"/>
  <c r="H23"/>
  <c r="E23"/>
  <c r="M22"/>
  <c r="L22"/>
  <c r="K22"/>
  <c r="J22"/>
  <c r="I22"/>
  <c r="H22"/>
  <c r="G22"/>
  <c r="F22"/>
  <c r="E22"/>
  <c r="N22" s="1"/>
  <c r="M21"/>
  <c r="L21"/>
  <c r="K21"/>
  <c r="I21"/>
  <c r="H21"/>
  <c r="E21"/>
  <c r="L20"/>
  <c r="L16" s="1"/>
  <c r="G20"/>
  <c r="E20"/>
  <c r="N20" s="1"/>
  <c r="M19"/>
  <c r="L19"/>
  <c r="K19"/>
  <c r="J19"/>
  <c r="I19"/>
  <c r="H19"/>
  <c r="G19"/>
  <c r="F19"/>
  <c r="E19"/>
  <c r="N19" s="1"/>
  <c r="N18"/>
  <c r="N17"/>
  <c r="M16"/>
  <c r="K16"/>
  <c r="J16"/>
  <c r="I16"/>
  <c r="H16"/>
  <c r="G16"/>
  <c r="F16"/>
  <c r="E16"/>
  <c r="M15"/>
  <c r="L15"/>
  <c r="K15"/>
  <c r="J15"/>
  <c r="I15"/>
  <c r="H15"/>
  <c r="G15"/>
  <c r="F15"/>
  <c r="E15"/>
  <c r="N15" s="1"/>
  <c r="M14"/>
  <c r="L14"/>
  <c r="K14"/>
  <c r="J14"/>
  <c r="J13" s="1"/>
  <c r="I14"/>
  <c r="H14"/>
  <c r="G14"/>
  <c r="F14"/>
  <c r="F13" s="1"/>
  <c r="E14"/>
  <c r="N14" s="1"/>
  <c r="M13"/>
  <c r="L13"/>
  <c r="K13"/>
  <c r="I13"/>
  <c r="H13"/>
  <c r="G13"/>
  <c r="E13"/>
  <c r="N13" s="1"/>
  <c r="M12"/>
  <c r="L12"/>
  <c r="K12"/>
  <c r="J12"/>
  <c r="J11" s="1"/>
  <c r="J9" s="1"/>
  <c r="I12"/>
  <c r="H12"/>
  <c r="G12"/>
  <c r="F12"/>
  <c r="F11" s="1"/>
  <c r="F9" s="1"/>
  <c r="E12"/>
  <c r="N12" s="1"/>
  <c r="M11"/>
  <c r="M9" s="1"/>
  <c r="L11"/>
  <c r="K11"/>
  <c r="K9" s="1"/>
  <c r="I11"/>
  <c r="I9" s="1"/>
  <c r="H11"/>
  <c r="G11"/>
  <c r="G9" s="1"/>
  <c r="E11"/>
  <c r="N11" s="1"/>
  <c r="N10"/>
  <c r="L9"/>
  <c r="H9"/>
  <c r="N8"/>
  <c r="N7"/>
  <c r="M6"/>
  <c r="L6"/>
  <c r="K6"/>
  <c r="J6"/>
  <c r="I6"/>
  <c r="H6"/>
  <c r="G6"/>
  <c r="F6"/>
  <c r="N6" s="1"/>
  <c r="E6"/>
  <c r="U74" i="2"/>
  <c r="U73"/>
  <c r="U72"/>
  <c r="U71"/>
  <c r="U70"/>
  <c r="U69"/>
  <c r="U68"/>
  <c r="T67"/>
  <c r="S67"/>
  <c r="R67"/>
  <c r="Q67"/>
  <c r="P67"/>
  <c r="O67"/>
  <c r="N67"/>
  <c r="M67"/>
  <c r="L67"/>
  <c r="K67"/>
  <c r="J67"/>
  <c r="I67"/>
  <c r="H67"/>
  <c r="G67"/>
  <c r="F67"/>
  <c r="E67"/>
  <c r="U67" s="1"/>
  <c r="U66"/>
  <c r="U65"/>
  <c r="U64"/>
  <c r="U63"/>
  <c r="T62"/>
  <c r="S62"/>
  <c r="R62"/>
  <c r="R49" s="1"/>
  <c r="R48" s="1"/>
  <c r="Q62"/>
  <c r="P62"/>
  <c r="O62"/>
  <c r="N62"/>
  <c r="N49" s="1"/>
  <c r="N48" s="1"/>
  <c r="M62"/>
  <c r="L62"/>
  <c r="K62"/>
  <c r="J62"/>
  <c r="J49" s="1"/>
  <c r="J48" s="1"/>
  <c r="I62"/>
  <c r="H62"/>
  <c r="G62"/>
  <c r="F62"/>
  <c r="F49" s="1"/>
  <c r="F48" s="1"/>
  <c r="E62"/>
  <c r="U62" s="1"/>
  <c r="U61"/>
  <c r="U60"/>
  <c r="T59"/>
  <c r="S59"/>
  <c r="R59"/>
  <c r="Q59"/>
  <c r="P59"/>
  <c r="O59"/>
  <c r="N59"/>
  <c r="M59"/>
  <c r="L59"/>
  <c r="K59"/>
  <c r="J59"/>
  <c r="I59"/>
  <c r="H59"/>
  <c r="G59"/>
  <c r="F59"/>
  <c r="E59"/>
  <c r="U59" s="1"/>
  <c r="U58"/>
  <c r="T57"/>
  <c r="S57"/>
  <c r="S56" s="1"/>
  <c r="S55" s="1"/>
  <c r="R57"/>
  <c r="Q57"/>
  <c r="Q56" s="1"/>
  <c r="Q55" s="1"/>
  <c r="P57"/>
  <c r="O57"/>
  <c r="O56" s="1"/>
  <c r="O55" s="1"/>
  <c r="N57"/>
  <c r="M57"/>
  <c r="M56" s="1"/>
  <c r="M55" s="1"/>
  <c r="L57"/>
  <c r="K57"/>
  <c r="K56" s="1"/>
  <c r="K55" s="1"/>
  <c r="J57"/>
  <c r="I57"/>
  <c r="I56" s="1"/>
  <c r="I55" s="1"/>
  <c r="H57"/>
  <c r="G57"/>
  <c r="G56" s="1"/>
  <c r="G55" s="1"/>
  <c r="F57"/>
  <c r="E57"/>
  <c r="E56" s="1"/>
  <c r="T56"/>
  <c r="T55" s="1"/>
  <c r="R56"/>
  <c r="R55" s="1"/>
  <c r="P56"/>
  <c r="P55" s="1"/>
  <c r="N56"/>
  <c r="N55" s="1"/>
  <c r="L56"/>
  <c r="L55" s="1"/>
  <c r="J56"/>
  <c r="J55" s="1"/>
  <c r="H56"/>
  <c r="H55" s="1"/>
  <c r="F56"/>
  <c r="F55" s="1"/>
  <c r="U54"/>
  <c r="T53"/>
  <c r="S53"/>
  <c r="R53"/>
  <c r="Q53"/>
  <c r="P53"/>
  <c r="O53"/>
  <c r="N53"/>
  <c r="M53"/>
  <c r="L53"/>
  <c r="K53"/>
  <c r="J53"/>
  <c r="I53"/>
  <c r="H53"/>
  <c r="G53"/>
  <c r="F53"/>
  <c r="E53"/>
  <c r="U53" s="1"/>
  <c r="T52"/>
  <c r="T51" s="1"/>
  <c r="S52"/>
  <c r="R52"/>
  <c r="R51" s="1"/>
  <c r="Q52"/>
  <c r="P52"/>
  <c r="P51" s="1"/>
  <c r="O52"/>
  <c r="N52"/>
  <c r="N51" s="1"/>
  <c r="M52"/>
  <c r="L52"/>
  <c r="L51" s="1"/>
  <c r="K52"/>
  <c r="J52"/>
  <c r="J51" s="1"/>
  <c r="I52"/>
  <c r="H52"/>
  <c r="H51" s="1"/>
  <c r="G52"/>
  <c r="F52"/>
  <c r="F51" s="1"/>
  <c r="E52"/>
  <c r="U52" s="1"/>
  <c r="S51"/>
  <c r="Q51"/>
  <c r="O51"/>
  <c r="M51"/>
  <c r="K51"/>
  <c r="I51"/>
  <c r="G51"/>
  <c r="E51"/>
  <c r="T50"/>
  <c r="S50"/>
  <c r="R50"/>
  <c r="Q50"/>
  <c r="P50"/>
  <c r="O50"/>
  <c r="N50"/>
  <c r="M50"/>
  <c r="L50"/>
  <c r="K50"/>
  <c r="J50"/>
  <c r="I50"/>
  <c r="H50"/>
  <c r="G50"/>
  <c r="F50"/>
  <c r="E50"/>
  <c r="U50" s="1"/>
  <c r="T49"/>
  <c r="S49"/>
  <c r="S48" s="1"/>
  <c r="Q49"/>
  <c r="Q48" s="1"/>
  <c r="P49"/>
  <c r="O49"/>
  <c r="O48" s="1"/>
  <c r="M49"/>
  <c r="M48" s="1"/>
  <c r="L49"/>
  <c r="K49"/>
  <c r="K48" s="1"/>
  <c r="I49"/>
  <c r="I48" s="1"/>
  <c r="H49"/>
  <c r="G49"/>
  <c r="G48" s="1"/>
  <c r="E49"/>
  <c r="E48" s="1"/>
  <c r="T48"/>
  <c r="P48"/>
  <c r="L48"/>
  <c r="H48"/>
  <c r="T47"/>
  <c r="S47"/>
  <c r="S46" s="1"/>
  <c r="R47"/>
  <c r="Q47"/>
  <c r="Q46" s="1"/>
  <c r="P47"/>
  <c r="O47"/>
  <c r="O46" s="1"/>
  <c r="N47"/>
  <c r="M47"/>
  <c r="M46" s="1"/>
  <c r="L47"/>
  <c r="K47"/>
  <c r="K46" s="1"/>
  <c r="J47"/>
  <c r="I47"/>
  <c r="I46" s="1"/>
  <c r="H47"/>
  <c r="G47"/>
  <c r="G46" s="1"/>
  <c r="F47"/>
  <c r="E47"/>
  <c r="U47" s="1"/>
  <c r="T46"/>
  <c r="R46"/>
  <c r="P46"/>
  <c r="N46"/>
  <c r="L46"/>
  <c r="J46"/>
  <c r="H46"/>
  <c r="F46"/>
  <c r="T45"/>
  <c r="S45"/>
  <c r="S44" s="1"/>
  <c r="R45"/>
  <c r="Q45"/>
  <c r="Q44" s="1"/>
  <c r="P45"/>
  <c r="O45"/>
  <c r="O44" s="1"/>
  <c r="N45"/>
  <c r="M45"/>
  <c r="M44" s="1"/>
  <c r="L45"/>
  <c r="K45"/>
  <c r="K44" s="1"/>
  <c r="J45"/>
  <c r="I45"/>
  <c r="I44" s="1"/>
  <c r="H45"/>
  <c r="G45"/>
  <c r="G44" s="1"/>
  <c r="F45"/>
  <c r="E45"/>
  <c r="E44" s="1"/>
  <c r="U44" s="1"/>
  <c r="T44"/>
  <c r="R44"/>
  <c r="P44"/>
  <c r="N44"/>
  <c r="L44"/>
  <c r="J44"/>
  <c r="H44"/>
  <c r="F44"/>
  <c r="T43"/>
  <c r="S43"/>
  <c r="S42" s="1"/>
  <c r="R43"/>
  <c r="Q43"/>
  <c r="Q42" s="1"/>
  <c r="P43"/>
  <c r="O43"/>
  <c r="O42" s="1"/>
  <c r="N43"/>
  <c r="M43"/>
  <c r="M42" s="1"/>
  <c r="L43"/>
  <c r="K43"/>
  <c r="K42" s="1"/>
  <c r="J43"/>
  <c r="I43"/>
  <c r="I42" s="1"/>
  <c r="H43"/>
  <c r="G43"/>
  <c r="G42" s="1"/>
  <c r="F43"/>
  <c r="E43"/>
  <c r="U43" s="1"/>
  <c r="T42"/>
  <c r="T39" s="1"/>
  <c r="R42"/>
  <c r="P42"/>
  <c r="P39" s="1"/>
  <c r="N42"/>
  <c r="L42"/>
  <c r="L39" s="1"/>
  <c r="J42"/>
  <c r="H42"/>
  <c r="H39" s="1"/>
  <c r="F42"/>
  <c r="U41"/>
  <c r="U40"/>
  <c r="U38"/>
  <c r="T37"/>
  <c r="S37"/>
  <c r="R37"/>
  <c r="Q37"/>
  <c r="P37"/>
  <c r="O37"/>
  <c r="N37"/>
  <c r="M37"/>
  <c r="L37"/>
  <c r="K37"/>
  <c r="J37"/>
  <c r="I37"/>
  <c r="H37"/>
  <c r="G37"/>
  <c r="F37"/>
  <c r="E37"/>
  <c r="U37" s="1"/>
  <c r="U36"/>
  <c r="T35"/>
  <c r="S35"/>
  <c r="R35"/>
  <c r="Q35"/>
  <c r="P35"/>
  <c r="O35"/>
  <c r="N35"/>
  <c r="M35"/>
  <c r="L35"/>
  <c r="K35"/>
  <c r="J35"/>
  <c r="I35"/>
  <c r="H35"/>
  <c r="G35"/>
  <c r="F35"/>
  <c r="E35"/>
  <c r="U35" s="1"/>
  <c r="U34"/>
  <c r="T33"/>
  <c r="S33"/>
  <c r="S32" s="1"/>
  <c r="R33"/>
  <c r="Q33"/>
  <c r="Q32" s="1"/>
  <c r="P33"/>
  <c r="O33"/>
  <c r="O32" s="1"/>
  <c r="N33"/>
  <c r="M33"/>
  <c r="M32" s="1"/>
  <c r="L33"/>
  <c r="K33"/>
  <c r="K32" s="1"/>
  <c r="J33"/>
  <c r="I33"/>
  <c r="I32" s="1"/>
  <c r="H33"/>
  <c r="G33"/>
  <c r="G32" s="1"/>
  <c r="F33"/>
  <c r="E33"/>
  <c r="E32" s="1"/>
  <c r="T32"/>
  <c r="R32"/>
  <c r="P32"/>
  <c r="N32"/>
  <c r="L32"/>
  <c r="J32"/>
  <c r="H32"/>
  <c r="F32"/>
  <c r="U31"/>
  <c r="U30"/>
  <c r="T29"/>
  <c r="S29"/>
  <c r="S28" s="1"/>
  <c r="R29"/>
  <c r="Q29"/>
  <c r="Q28" s="1"/>
  <c r="P29"/>
  <c r="O29"/>
  <c r="O28" s="1"/>
  <c r="N29"/>
  <c r="M29"/>
  <c r="M28" s="1"/>
  <c r="L29"/>
  <c r="K29"/>
  <c r="K28" s="1"/>
  <c r="J29"/>
  <c r="I29"/>
  <c r="I28" s="1"/>
  <c r="H29"/>
  <c r="G29"/>
  <c r="G28" s="1"/>
  <c r="F29"/>
  <c r="E29"/>
  <c r="E28" s="1"/>
  <c r="U28" s="1"/>
  <c r="T28"/>
  <c r="R28"/>
  <c r="P28"/>
  <c r="N28"/>
  <c r="L28"/>
  <c r="J28"/>
  <c r="H28"/>
  <c r="F28"/>
  <c r="T27"/>
  <c r="S27"/>
  <c r="S26" s="1"/>
  <c r="R27"/>
  <c r="Q27"/>
  <c r="Q26" s="1"/>
  <c r="P27"/>
  <c r="O27"/>
  <c r="O26" s="1"/>
  <c r="N27"/>
  <c r="M27"/>
  <c r="M26" s="1"/>
  <c r="L27"/>
  <c r="K27"/>
  <c r="K26" s="1"/>
  <c r="J27"/>
  <c r="I27"/>
  <c r="I26" s="1"/>
  <c r="H27"/>
  <c r="G27"/>
  <c r="G26" s="1"/>
  <c r="F27"/>
  <c r="E27"/>
  <c r="U27" s="1"/>
  <c r="T26"/>
  <c r="R26"/>
  <c r="P26"/>
  <c r="N26"/>
  <c r="L26"/>
  <c r="J26"/>
  <c r="H26"/>
  <c r="F26"/>
  <c r="T25"/>
  <c r="S25"/>
  <c r="R25"/>
  <c r="Q25"/>
  <c r="P25"/>
  <c r="O25"/>
  <c r="N25"/>
  <c r="M25"/>
  <c r="L25"/>
  <c r="K25"/>
  <c r="J25"/>
  <c r="I25"/>
  <c r="H25"/>
  <c r="G25"/>
  <c r="F25"/>
  <c r="E25"/>
  <c r="U25" s="1"/>
  <c r="T24"/>
  <c r="T23" s="1"/>
  <c r="S24"/>
  <c r="R24"/>
  <c r="R23" s="1"/>
  <c r="Q24"/>
  <c r="P24"/>
  <c r="P23" s="1"/>
  <c r="O24"/>
  <c r="N24"/>
  <c r="N23" s="1"/>
  <c r="M24"/>
  <c r="L24"/>
  <c r="L23" s="1"/>
  <c r="K24"/>
  <c r="J24"/>
  <c r="J23" s="1"/>
  <c r="I24"/>
  <c r="H24"/>
  <c r="H23" s="1"/>
  <c r="G24"/>
  <c r="F24"/>
  <c r="F23" s="1"/>
  <c r="E24"/>
  <c r="U24" s="1"/>
  <c r="S23"/>
  <c r="Q23"/>
  <c r="O23"/>
  <c r="M23"/>
  <c r="K23"/>
  <c r="I23"/>
  <c r="G23"/>
  <c r="E23"/>
  <c r="U23" s="1"/>
  <c r="T22"/>
  <c r="T21" s="1"/>
  <c r="S22"/>
  <c r="R22"/>
  <c r="R21" s="1"/>
  <c r="Q22"/>
  <c r="P22"/>
  <c r="P21" s="1"/>
  <c r="O22"/>
  <c r="N22"/>
  <c r="N21" s="1"/>
  <c r="M22"/>
  <c r="L22"/>
  <c r="L21" s="1"/>
  <c r="K22"/>
  <c r="J22"/>
  <c r="J21" s="1"/>
  <c r="I22"/>
  <c r="H22"/>
  <c r="H21" s="1"/>
  <c r="G22"/>
  <c r="F22"/>
  <c r="F21" s="1"/>
  <c r="E22"/>
  <c r="U22" s="1"/>
  <c r="S21"/>
  <c r="Q21"/>
  <c r="O21"/>
  <c r="M21"/>
  <c r="K21"/>
  <c r="I21"/>
  <c r="G21"/>
  <c r="E21"/>
  <c r="U21" s="1"/>
  <c r="K20"/>
  <c r="J20"/>
  <c r="I20"/>
  <c r="H20"/>
  <c r="G20"/>
  <c r="F20"/>
  <c r="E20"/>
  <c r="U20" s="1"/>
  <c r="T19"/>
  <c r="T16" s="1"/>
  <c r="T5" s="1"/>
  <c r="T4" s="1"/>
  <c r="S19"/>
  <c r="R19"/>
  <c r="R16" s="1"/>
  <c r="Q19"/>
  <c r="P19"/>
  <c r="P16" s="1"/>
  <c r="P5" s="1"/>
  <c r="P4" s="1"/>
  <c r="O19"/>
  <c r="N19"/>
  <c r="N16" s="1"/>
  <c r="M19"/>
  <c r="L19"/>
  <c r="L16" s="1"/>
  <c r="L5" s="1"/>
  <c r="L4" s="1"/>
  <c r="K19"/>
  <c r="J19"/>
  <c r="J16" s="1"/>
  <c r="I19"/>
  <c r="H19"/>
  <c r="H16" s="1"/>
  <c r="H5" s="1"/>
  <c r="H4" s="1"/>
  <c r="G19"/>
  <c r="F19"/>
  <c r="F16" s="1"/>
  <c r="E19"/>
  <c r="U19" s="1"/>
  <c r="U18"/>
  <c r="U17"/>
  <c r="S16"/>
  <c r="Q16"/>
  <c r="O16"/>
  <c r="M16"/>
  <c r="K16"/>
  <c r="I16"/>
  <c r="G16"/>
  <c r="E16"/>
  <c r="T15"/>
  <c r="S15"/>
  <c r="R15"/>
  <c r="Q15"/>
  <c r="P15"/>
  <c r="O15"/>
  <c r="N15"/>
  <c r="M15"/>
  <c r="L15"/>
  <c r="K15"/>
  <c r="J15"/>
  <c r="I15"/>
  <c r="H15"/>
  <c r="G15"/>
  <c r="F15"/>
  <c r="E15"/>
  <c r="U15" s="1"/>
  <c r="T14"/>
  <c r="S14"/>
  <c r="S13" s="1"/>
  <c r="R14"/>
  <c r="Q14"/>
  <c r="Q13" s="1"/>
  <c r="P14"/>
  <c r="O14"/>
  <c r="O13" s="1"/>
  <c r="N14"/>
  <c r="M14"/>
  <c r="M13" s="1"/>
  <c r="L14"/>
  <c r="K14"/>
  <c r="K13" s="1"/>
  <c r="J14"/>
  <c r="I14"/>
  <c r="I13" s="1"/>
  <c r="H14"/>
  <c r="G14"/>
  <c r="G13" s="1"/>
  <c r="F14"/>
  <c r="E14"/>
  <c r="U14" s="1"/>
  <c r="T13"/>
  <c r="R13"/>
  <c r="P13"/>
  <c r="N13"/>
  <c r="L13"/>
  <c r="J13"/>
  <c r="H13"/>
  <c r="F13"/>
  <c r="T12"/>
  <c r="S12"/>
  <c r="S11" s="1"/>
  <c r="S9" s="1"/>
  <c r="R12"/>
  <c r="Q12"/>
  <c r="Q11" s="1"/>
  <c r="Q9" s="1"/>
  <c r="P12"/>
  <c r="O12"/>
  <c r="O11" s="1"/>
  <c r="O9" s="1"/>
  <c r="N12"/>
  <c r="M12"/>
  <c r="M11" s="1"/>
  <c r="M9" s="1"/>
  <c r="L12"/>
  <c r="K12"/>
  <c r="K11" s="1"/>
  <c r="K9" s="1"/>
  <c r="J12"/>
  <c r="I12"/>
  <c r="I11" s="1"/>
  <c r="I9" s="1"/>
  <c r="H12"/>
  <c r="G12"/>
  <c r="G11" s="1"/>
  <c r="G9" s="1"/>
  <c r="F12"/>
  <c r="E12"/>
  <c r="E11" s="1"/>
  <c r="T11"/>
  <c r="R11"/>
  <c r="R9" s="1"/>
  <c r="P11"/>
  <c r="N11"/>
  <c r="N9" s="1"/>
  <c r="L11"/>
  <c r="J11"/>
  <c r="J9" s="1"/>
  <c r="H11"/>
  <c r="F11"/>
  <c r="F9" s="1"/>
  <c r="F5" s="1"/>
  <c r="U10"/>
  <c r="T9"/>
  <c r="P9"/>
  <c r="L9"/>
  <c r="H9"/>
  <c r="U8"/>
  <c r="U7"/>
  <c r="T6"/>
  <c r="S6"/>
  <c r="S5" s="1"/>
  <c r="R6"/>
  <c r="Q6"/>
  <c r="P6"/>
  <c r="O6"/>
  <c r="N6"/>
  <c r="M6"/>
  <c r="L6"/>
  <c r="K6"/>
  <c r="K5" s="1"/>
  <c r="J6"/>
  <c r="I6"/>
  <c r="H6"/>
  <c r="G6"/>
  <c r="F6"/>
  <c r="E6"/>
  <c r="U6" s="1"/>
  <c r="P74" i="1"/>
  <c r="P73"/>
  <c r="P72"/>
  <c r="P71"/>
  <c r="P70"/>
  <c r="P69"/>
  <c r="P68"/>
  <c r="O67"/>
  <c r="N67"/>
  <c r="M67"/>
  <c r="L67"/>
  <c r="K67"/>
  <c r="J67"/>
  <c r="I67"/>
  <c r="H67"/>
  <c r="G67"/>
  <c r="F67"/>
  <c r="E67"/>
  <c r="P67" s="1"/>
  <c r="P66"/>
  <c r="P65"/>
  <c r="P64"/>
  <c r="P63"/>
  <c r="O62"/>
  <c r="N62"/>
  <c r="M62"/>
  <c r="L62"/>
  <c r="K62"/>
  <c r="J62"/>
  <c r="I62"/>
  <c r="H62"/>
  <c r="G62"/>
  <c r="F62"/>
  <c r="E62"/>
  <c r="P62" s="1"/>
  <c r="P61"/>
  <c r="P60"/>
  <c r="O59"/>
  <c r="N59"/>
  <c r="M59"/>
  <c r="L59"/>
  <c r="K59"/>
  <c r="J59"/>
  <c r="I59"/>
  <c r="H59"/>
  <c r="G59"/>
  <c r="F59"/>
  <c r="E59"/>
  <c r="P59" s="1"/>
  <c r="P58"/>
  <c r="O57"/>
  <c r="N57"/>
  <c r="M57"/>
  <c r="L57"/>
  <c r="K57"/>
  <c r="J57"/>
  <c r="I57"/>
  <c r="H57"/>
  <c r="P57" s="1"/>
  <c r="G57"/>
  <c r="F57"/>
  <c r="E57"/>
  <c r="O56"/>
  <c r="N56"/>
  <c r="M56"/>
  <c r="L56"/>
  <c r="K56"/>
  <c r="J56"/>
  <c r="I56"/>
  <c r="H56"/>
  <c r="P56" s="1"/>
  <c r="G56"/>
  <c r="F56"/>
  <c r="E56"/>
  <c r="O55"/>
  <c r="N55"/>
  <c r="M55"/>
  <c r="L55"/>
  <c r="K55"/>
  <c r="J55"/>
  <c r="I55"/>
  <c r="H55"/>
  <c r="P55" s="1"/>
  <c r="G55"/>
  <c r="F55"/>
  <c r="E55"/>
  <c r="P54"/>
  <c r="O53"/>
  <c r="N53"/>
  <c r="M53"/>
  <c r="L53"/>
  <c r="K53"/>
  <c r="J53"/>
  <c r="I53"/>
  <c r="H53"/>
  <c r="G53"/>
  <c r="F53"/>
  <c r="E53"/>
  <c r="P53" s="1"/>
  <c r="O52"/>
  <c r="N52"/>
  <c r="M52"/>
  <c r="L52"/>
  <c r="K52"/>
  <c r="J52"/>
  <c r="I52"/>
  <c r="H52"/>
  <c r="G52"/>
  <c r="F52"/>
  <c r="F51" s="1"/>
  <c r="F39" s="1"/>
  <c r="E52"/>
  <c r="P52" s="1"/>
  <c r="M53" i="10" s="1"/>
  <c r="O51" i="1"/>
  <c r="N51"/>
  <c r="M51"/>
  <c r="L51"/>
  <c r="K51"/>
  <c r="J51"/>
  <c r="I51"/>
  <c r="H51"/>
  <c r="G51"/>
  <c r="O50"/>
  <c r="N50"/>
  <c r="M50"/>
  <c r="L50"/>
  <c r="K50"/>
  <c r="J50"/>
  <c r="I50"/>
  <c r="H50"/>
  <c r="G50"/>
  <c r="F50"/>
  <c r="E50"/>
  <c r="P50" s="1"/>
  <c r="O49"/>
  <c r="N49"/>
  <c r="M49"/>
  <c r="L49"/>
  <c r="K49"/>
  <c r="J49"/>
  <c r="I49"/>
  <c r="H49"/>
  <c r="G49"/>
  <c r="F49"/>
  <c r="E49"/>
  <c r="P49" s="1"/>
  <c r="O48"/>
  <c r="N48"/>
  <c r="M48"/>
  <c r="L48"/>
  <c r="K48"/>
  <c r="J48"/>
  <c r="I48"/>
  <c r="H48"/>
  <c r="G48"/>
  <c r="F48"/>
  <c r="E48"/>
  <c r="P48" s="1"/>
  <c r="O47"/>
  <c r="N47"/>
  <c r="M47"/>
  <c r="L47"/>
  <c r="K47"/>
  <c r="J47"/>
  <c r="I47"/>
  <c r="H47"/>
  <c r="G47"/>
  <c r="F47"/>
  <c r="E47"/>
  <c r="P47" s="1"/>
  <c r="O46"/>
  <c r="N46"/>
  <c r="M46"/>
  <c r="L46"/>
  <c r="K46"/>
  <c r="J46"/>
  <c r="I46"/>
  <c r="H46"/>
  <c r="G46"/>
  <c r="F46"/>
  <c r="E46"/>
  <c r="P46" s="1"/>
  <c r="O45"/>
  <c r="N45"/>
  <c r="M45"/>
  <c r="L45"/>
  <c r="K45"/>
  <c r="J45"/>
  <c r="I45"/>
  <c r="H45"/>
  <c r="G45"/>
  <c r="F45"/>
  <c r="E45"/>
  <c r="P45" s="1"/>
  <c r="O44"/>
  <c r="N44"/>
  <c r="M44"/>
  <c r="L44"/>
  <c r="K44"/>
  <c r="J44"/>
  <c r="I44"/>
  <c r="H44"/>
  <c r="G44"/>
  <c r="F44"/>
  <c r="E44"/>
  <c r="P44" s="1"/>
  <c r="O43"/>
  <c r="N43"/>
  <c r="M43"/>
  <c r="L43"/>
  <c r="K43"/>
  <c r="J43"/>
  <c r="I43"/>
  <c r="H43"/>
  <c r="G43"/>
  <c r="F43"/>
  <c r="E43"/>
  <c r="P43" s="1"/>
  <c r="O42"/>
  <c r="N42"/>
  <c r="M42"/>
  <c r="M39" s="1"/>
  <c r="L42"/>
  <c r="L39" s="1"/>
  <c r="K42"/>
  <c r="J42"/>
  <c r="I42"/>
  <c r="I39" s="1"/>
  <c r="H42"/>
  <c r="H39" s="1"/>
  <c r="G42"/>
  <c r="F42"/>
  <c r="E42"/>
  <c r="P42" s="1"/>
  <c r="P41"/>
  <c r="P40"/>
  <c r="O39"/>
  <c r="N39"/>
  <c r="K39"/>
  <c r="J39"/>
  <c r="G39"/>
  <c r="P38"/>
  <c r="O37"/>
  <c r="O32" s="1"/>
  <c r="N37"/>
  <c r="M37"/>
  <c r="L37"/>
  <c r="K37"/>
  <c r="K32" s="1"/>
  <c r="J37"/>
  <c r="I37"/>
  <c r="H37"/>
  <c r="P37" s="1"/>
  <c r="G37"/>
  <c r="G32" s="1"/>
  <c r="F37"/>
  <c r="E37"/>
  <c r="P36"/>
  <c r="O35"/>
  <c r="N35"/>
  <c r="M35"/>
  <c r="M32" s="1"/>
  <c r="L35"/>
  <c r="L32" s="1"/>
  <c r="K35"/>
  <c r="J35"/>
  <c r="I35"/>
  <c r="I32" s="1"/>
  <c r="H35"/>
  <c r="H32" s="1"/>
  <c r="G35"/>
  <c r="F35"/>
  <c r="E35"/>
  <c r="P35" s="1"/>
  <c r="P34"/>
  <c r="O33"/>
  <c r="N33"/>
  <c r="M33"/>
  <c r="L33"/>
  <c r="K33"/>
  <c r="J33"/>
  <c r="I33"/>
  <c r="H33"/>
  <c r="G33"/>
  <c r="F33"/>
  <c r="E33"/>
  <c r="P33" s="1"/>
  <c r="N32"/>
  <c r="J32"/>
  <c r="F32"/>
  <c r="P31"/>
  <c r="P30"/>
  <c r="M31" i="10" s="1"/>
  <c r="N31" s="1"/>
  <c r="O29" i="1"/>
  <c r="N29"/>
  <c r="M29"/>
  <c r="L29"/>
  <c r="K29"/>
  <c r="J29"/>
  <c r="I29"/>
  <c r="H29"/>
  <c r="G29"/>
  <c r="F29"/>
  <c r="F28" s="1"/>
  <c r="E29"/>
  <c r="E28" s="1"/>
  <c r="O28"/>
  <c r="N28"/>
  <c r="M28"/>
  <c r="L28"/>
  <c r="K28"/>
  <c r="J28"/>
  <c r="I28"/>
  <c r="H28"/>
  <c r="G28"/>
  <c r="O27"/>
  <c r="N27"/>
  <c r="M27"/>
  <c r="L27"/>
  <c r="K27"/>
  <c r="J27"/>
  <c r="I27"/>
  <c r="H27"/>
  <c r="G27"/>
  <c r="F27"/>
  <c r="E27"/>
  <c r="E26" s="1"/>
  <c r="O26"/>
  <c r="N26"/>
  <c r="M26"/>
  <c r="L26"/>
  <c r="K26"/>
  <c r="J26"/>
  <c r="I26"/>
  <c r="H26"/>
  <c r="G26"/>
  <c r="F26"/>
  <c r="O25"/>
  <c r="N25"/>
  <c r="M25"/>
  <c r="L25"/>
  <c r="K25"/>
  <c r="J25"/>
  <c r="I25"/>
  <c r="H25"/>
  <c r="G25"/>
  <c r="F25"/>
  <c r="E25"/>
  <c r="O24"/>
  <c r="N24"/>
  <c r="M24"/>
  <c r="L24"/>
  <c r="K24"/>
  <c r="J24"/>
  <c r="I24"/>
  <c r="H24"/>
  <c r="P24" s="1"/>
  <c r="M25" i="10" s="1"/>
  <c r="G24" i="1"/>
  <c r="F24"/>
  <c r="E24"/>
  <c r="O23"/>
  <c r="N23"/>
  <c r="M23"/>
  <c r="L23"/>
  <c r="K23"/>
  <c r="J23"/>
  <c r="I23"/>
  <c r="H23"/>
  <c r="G23"/>
  <c r="F23"/>
  <c r="E23"/>
  <c r="O22"/>
  <c r="N22"/>
  <c r="M22"/>
  <c r="L22"/>
  <c r="K22"/>
  <c r="J22"/>
  <c r="I22"/>
  <c r="H22"/>
  <c r="G22"/>
  <c r="F22"/>
  <c r="F21" s="1"/>
  <c r="E22"/>
  <c r="O21"/>
  <c r="N21"/>
  <c r="M21"/>
  <c r="L21"/>
  <c r="K21"/>
  <c r="J21"/>
  <c r="I21"/>
  <c r="H21"/>
  <c r="G21"/>
  <c r="E21"/>
  <c r="P20"/>
  <c r="O19"/>
  <c r="N19"/>
  <c r="M19"/>
  <c r="M16" s="1"/>
  <c r="M5" s="1"/>
  <c r="M4" s="1"/>
  <c r="L19"/>
  <c r="L16" s="1"/>
  <c r="K19"/>
  <c r="J19"/>
  <c r="I19"/>
  <c r="I16" s="1"/>
  <c r="I5" s="1"/>
  <c r="I4" s="1"/>
  <c r="H19"/>
  <c r="H16" s="1"/>
  <c r="G19"/>
  <c r="F19"/>
  <c r="E19"/>
  <c r="P19" s="1"/>
  <c r="P18"/>
  <c r="P17"/>
  <c r="O16"/>
  <c r="N16"/>
  <c r="K16"/>
  <c r="J16"/>
  <c r="G16"/>
  <c r="F16"/>
  <c r="O15"/>
  <c r="N15"/>
  <c r="M15"/>
  <c r="L15"/>
  <c r="K15"/>
  <c r="J15"/>
  <c r="I15"/>
  <c r="H15"/>
  <c r="G15"/>
  <c r="F15"/>
  <c r="P15" s="1"/>
  <c r="M16" i="10" s="1"/>
  <c r="N16" s="1"/>
  <c r="E15" i="1"/>
  <c r="O14"/>
  <c r="N14"/>
  <c r="M14"/>
  <c r="L14"/>
  <c r="K14"/>
  <c r="J14"/>
  <c r="I14"/>
  <c r="H14"/>
  <c r="G14"/>
  <c r="F14"/>
  <c r="F13" s="1"/>
  <c r="E14"/>
  <c r="E13" s="1"/>
  <c r="O13"/>
  <c r="N13"/>
  <c r="M13"/>
  <c r="L13"/>
  <c r="K13"/>
  <c r="J13"/>
  <c r="I13"/>
  <c r="H13"/>
  <c r="G13"/>
  <c r="O12"/>
  <c r="N12"/>
  <c r="M12"/>
  <c r="L12"/>
  <c r="K12"/>
  <c r="J12"/>
  <c r="I12"/>
  <c r="H12"/>
  <c r="G12"/>
  <c r="F12"/>
  <c r="P12" s="1"/>
  <c r="E12"/>
  <c r="O11"/>
  <c r="O9" s="1"/>
  <c r="N11"/>
  <c r="N9" s="1"/>
  <c r="M11"/>
  <c r="L11"/>
  <c r="K11"/>
  <c r="K9" s="1"/>
  <c r="K5" s="1"/>
  <c r="K4" s="1"/>
  <c r="J11"/>
  <c r="J9" s="1"/>
  <c r="I11"/>
  <c r="H11"/>
  <c r="G11"/>
  <c r="G9" s="1"/>
  <c r="F11"/>
  <c r="P11" s="1"/>
  <c r="E11"/>
  <c r="P10"/>
  <c r="M9"/>
  <c r="L9"/>
  <c r="L5" s="1"/>
  <c r="L4" s="1"/>
  <c r="I9"/>
  <c r="H9"/>
  <c r="E9"/>
  <c r="P8"/>
  <c r="M9" i="10" s="1"/>
  <c r="N9" s="1"/>
  <c r="P7" i="1"/>
  <c r="M8" i="10" s="1"/>
  <c r="N8" s="1"/>
  <c r="O6" i="1"/>
  <c r="N6"/>
  <c r="M6"/>
  <c r="L6"/>
  <c r="K6"/>
  <c r="J6"/>
  <c r="I6"/>
  <c r="H6"/>
  <c r="G6"/>
  <c r="F6"/>
  <c r="E6"/>
  <c r="M4" i="8" l="1"/>
  <c r="I4"/>
  <c r="T40"/>
  <c r="L41" i="10" s="1"/>
  <c r="N41" s="1"/>
  <c r="G5" i="1"/>
  <c r="N68" i="10"/>
  <c r="N63"/>
  <c r="I59" i="7"/>
  <c r="F60" i="10" s="1"/>
  <c r="N60" s="1"/>
  <c r="G39" i="7"/>
  <c r="I32"/>
  <c r="F33" i="10" s="1"/>
  <c r="I52" i="7"/>
  <c r="F53" i="10" s="1"/>
  <c r="N53" s="1"/>
  <c r="I51" i="7"/>
  <c r="F52" i="10" s="1"/>
  <c r="P22" i="1"/>
  <c r="M23" i="10" s="1"/>
  <c r="N23" s="1"/>
  <c r="P13" i="1"/>
  <c r="M14" i="10" s="1"/>
  <c r="N14" s="1"/>
  <c r="P14" i="1"/>
  <c r="M15" i="10" s="1"/>
  <c r="P21" i="1"/>
  <c r="M22" i="10" s="1"/>
  <c r="P25" i="1"/>
  <c r="M26" i="10" s="1"/>
  <c r="N26" s="1"/>
  <c r="P29" i="1"/>
  <c r="M30" i="10" s="1"/>
  <c r="E51" i="1"/>
  <c r="P51" s="1"/>
  <c r="M52" i="10" s="1"/>
  <c r="P26" i="1"/>
  <c r="M27" i="10" s="1"/>
  <c r="P23" i="1"/>
  <c r="M24" i="10" s="1"/>
  <c r="P27" i="1"/>
  <c r="M28" i="10" s="1"/>
  <c r="N28" s="1"/>
  <c r="P28" i="1"/>
  <c r="M29" i="10" s="1"/>
  <c r="P6" i="1"/>
  <c r="M7" i="10" s="1"/>
  <c r="N5" i="1"/>
  <c r="N4" s="1"/>
  <c r="K5" i="3"/>
  <c r="K4" s="1"/>
  <c r="T5" i="9"/>
  <c r="Q5" i="2"/>
  <c r="V5" i="9"/>
  <c r="V4" s="1"/>
  <c r="O5" i="2"/>
  <c r="G5" i="7"/>
  <c r="Q5" i="9"/>
  <c r="Q4" s="1"/>
  <c r="J5" i="5"/>
  <c r="N5" i="2"/>
  <c r="P5" i="9"/>
  <c r="M5" i="2"/>
  <c r="J5" i="1"/>
  <c r="J4" s="1"/>
  <c r="I5" i="3"/>
  <c r="M5"/>
  <c r="I16" i="7"/>
  <c r="F17" i="10" s="1"/>
  <c r="N17" s="1"/>
  <c r="V5" i="4"/>
  <c r="O5" i="1"/>
  <c r="O4" s="1"/>
  <c r="P5" i="5"/>
  <c r="P4" i="8"/>
  <c r="I5" i="2"/>
  <c r="I5" i="9"/>
  <c r="I4" s="1"/>
  <c r="I6" i="6"/>
  <c r="G5" i="3"/>
  <c r="G4" s="1"/>
  <c r="N16"/>
  <c r="Q16" i="5"/>
  <c r="E5" i="9"/>
  <c r="E4" s="1"/>
  <c r="G5" i="2"/>
  <c r="F39" i="8"/>
  <c r="F4" s="1"/>
  <c r="J39"/>
  <c r="J4" s="1"/>
  <c r="N39"/>
  <c r="N4" s="1"/>
  <c r="L4"/>
  <c r="S5" i="9"/>
  <c r="S4" s="1"/>
  <c r="X6"/>
  <c r="X51"/>
  <c r="X52"/>
  <c r="G39"/>
  <c r="U39"/>
  <c r="H43"/>
  <c r="H42" s="1"/>
  <c r="X42" s="1"/>
  <c r="L43"/>
  <c r="L42" s="1"/>
  <c r="P43"/>
  <c r="P42" s="1"/>
  <c r="T43"/>
  <c r="T42" s="1"/>
  <c r="H49"/>
  <c r="H48" s="1"/>
  <c r="X48" s="1"/>
  <c r="L49"/>
  <c r="L48" s="1"/>
  <c r="P49"/>
  <c r="P48" s="1"/>
  <c r="T49"/>
  <c r="T48" s="1"/>
  <c r="X9"/>
  <c r="H12"/>
  <c r="H11" s="1"/>
  <c r="H9" s="1"/>
  <c r="H5" s="1"/>
  <c r="F22"/>
  <c r="N22"/>
  <c r="F24"/>
  <c r="N24"/>
  <c r="N23" s="1"/>
  <c r="F25"/>
  <c r="N25"/>
  <c r="F27"/>
  <c r="N27"/>
  <c r="N26" s="1"/>
  <c r="F29"/>
  <c r="N29"/>
  <c r="N28" s="1"/>
  <c r="G16"/>
  <c r="G5" s="1"/>
  <c r="G4" s="1"/>
  <c r="M22"/>
  <c r="U22"/>
  <c r="M24"/>
  <c r="U24"/>
  <c r="U23" s="1"/>
  <c r="M25"/>
  <c r="U25"/>
  <c r="M27"/>
  <c r="M26" s="1"/>
  <c r="U27"/>
  <c r="U26" s="1"/>
  <c r="M29"/>
  <c r="M28" s="1"/>
  <c r="U29"/>
  <c r="U28" s="1"/>
  <c r="X30"/>
  <c r="H35"/>
  <c r="H32" s="1"/>
  <c r="X32" s="1"/>
  <c r="T49" i="8"/>
  <c r="T52"/>
  <c r="T21"/>
  <c r="T26"/>
  <c r="T51"/>
  <c r="R39"/>
  <c r="T25"/>
  <c r="T27"/>
  <c r="T32"/>
  <c r="T41"/>
  <c r="L42" i="10" s="1"/>
  <c r="T48" i="8"/>
  <c r="R25"/>
  <c r="R23" s="1"/>
  <c r="R21" s="1"/>
  <c r="R27"/>
  <c r="R26" s="1"/>
  <c r="R29"/>
  <c r="R28" s="1"/>
  <c r="T28" s="1"/>
  <c r="T30"/>
  <c r="T35"/>
  <c r="E16"/>
  <c r="H53"/>
  <c r="H39" s="1"/>
  <c r="H4" s="1"/>
  <c r="G43"/>
  <c r="G42" s="1"/>
  <c r="G39" s="1"/>
  <c r="G4" s="1"/>
  <c r="K43"/>
  <c r="K42" s="1"/>
  <c r="K39" s="1"/>
  <c r="K4" s="1"/>
  <c r="O43"/>
  <c r="O42" s="1"/>
  <c r="O39" s="1"/>
  <c r="O4" s="1"/>
  <c r="S43"/>
  <c r="S42" s="1"/>
  <c r="S39" s="1"/>
  <c r="S4" s="1"/>
  <c r="H21" i="7"/>
  <c r="H5" s="1"/>
  <c r="H4" s="1"/>
  <c r="I28"/>
  <c r="F29" i="10" s="1"/>
  <c r="I42" i="7"/>
  <c r="F43" i="10" s="1"/>
  <c r="N43" s="1"/>
  <c r="I23" i="7"/>
  <c r="F24" i="10" s="1"/>
  <c r="E21" i="7"/>
  <c r="I21" s="1"/>
  <c r="F22" i="10" s="1"/>
  <c r="I46" i="7"/>
  <c r="F47" i="10" s="1"/>
  <c r="N47" s="1"/>
  <c r="F39" i="7"/>
  <c r="F4" s="1"/>
  <c r="I43"/>
  <c r="F44" i="10" s="1"/>
  <c r="N44" s="1"/>
  <c r="E11" i="7"/>
  <c r="E26"/>
  <c r="I26" s="1"/>
  <c r="F27" i="10" s="1"/>
  <c r="E41" i="7"/>
  <c r="I41" s="1"/>
  <c r="F42" i="10" s="1"/>
  <c r="E44" i="7"/>
  <c r="I44" s="1"/>
  <c r="F45" i="10" s="1"/>
  <c r="N45" s="1"/>
  <c r="E48" i="7"/>
  <c r="I48" s="1"/>
  <c r="F49" i="10" s="1"/>
  <c r="N49" s="1"/>
  <c r="E56" i="7"/>
  <c r="I6"/>
  <c r="F7" i="10" s="1"/>
  <c r="I14" i="7"/>
  <c r="F15" i="10" s="1"/>
  <c r="I29" i="7"/>
  <c r="F30" i="10" s="1"/>
  <c r="I33" i="7"/>
  <c r="F34" i="10" s="1"/>
  <c r="N34" s="1"/>
  <c r="I24" i="7"/>
  <c r="F25" i="10" s="1"/>
  <c r="N25" s="1"/>
  <c r="J50" i="6"/>
  <c r="E49"/>
  <c r="J49" s="1"/>
  <c r="H6"/>
  <c r="H5" s="1"/>
  <c r="J12"/>
  <c r="J33"/>
  <c r="J45"/>
  <c r="J47"/>
  <c r="J57"/>
  <c r="E56"/>
  <c r="J56" s="1"/>
  <c r="E6"/>
  <c r="J27"/>
  <c r="G6"/>
  <c r="G5" s="1"/>
  <c r="J14"/>
  <c r="F10"/>
  <c r="F6" s="1"/>
  <c r="F5" s="1"/>
  <c r="J28"/>
  <c r="J30"/>
  <c r="E44"/>
  <c r="I44"/>
  <c r="I43" s="1"/>
  <c r="I40" s="1"/>
  <c r="I5" s="1"/>
  <c r="E52"/>
  <c r="J52" s="1"/>
  <c r="J58"/>
  <c r="G5" i="5"/>
  <c r="K5"/>
  <c r="K4" s="1"/>
  <c r="L5"/>
  <c r="L4" s="1"/>
  <c r="Q27"/>
  <c r="Q32"/>
  <c r="Q41"/>
  <c r="G39"/>
  <c r="Q51"/>
  <c r="Q52"/>
  <c r="Q55"/>
  <c r="Q9"/>
  <c r="E5"/>
  <c r="J4"/>
  <c r="Q28"/>
  <c r="L39"/>
  <c r="Q44"/>
  <c r="Q43"/>
  <c r="E42"/>
  <c r="Q14"/>
  <c r="N4"/>
  <c r="P39"/>
  <c r="E21"/>
  <c r="P4"/>
  <c r="Q25"/>
  <c r="F39"/>
  <c r="F4" s="1"/>
  <c r="J39"/>
  <c r="N39"/>
  <c r="Q8"/>
  <c r="Q11"/>
  <c r="Q15"/>
  <c r="Q19"/>
  <c r="Q24"/>
  <c r="Q62"/>
  <c r="M14"/>
  <c r="M13" s="1"/>
  <c r="Q13" s="1"/>
  <c r="M27"/>
  <c r="M26" s="1"/>
  <c r="Q26" s="1"/>
  <c r="Q30"/>
  <c r="Q40"/>
  <c r="E49"/>
  <c r="I49"/>
  <c r="I48" s="1"/>
  <c r="I39" s="1"/>
  <c r="I4" s="1"/>
  <c r="M49"/>
  <c r="M48" s="1"/>
  <c r="M39" s="1"/>
  <c r="M22"/>
  <c r="M52"/>
  <c r="M51" s="1"/>
  <c r="M25"/>
  <c r="M23" s="1"/>
  <c r="Q23" s="1"/>
  <c r="I5" i="4"/>
  <c r="I4" s="1"/>
  <c r="N5"/>
  <c r="N4" s="1"/>
  <c r="T4"/>
  <c r="S39"/>
  <c r="F5"/>
  <c r="X6"/>
  <c r="V4"/>
  <c r="F39"/>
  <c r="X39" s="1"/>
  <c r="N39"/>
  <c r="V39"/>
  <c r="X52"/>
  <c r="P5"/>
  <c r="P4" s="1"/>
  <c r="X51"/>
  <c r="E9"/>
  <c r="H16"/>
  <c r="X16" s="1"/>
  <c r="S24"/>
  <c r="K25"/>
  <c r="K23" s="1"/>
  <c r="K21" s="1"/>
  <c r="K5" s="1"/>
  <c r="K4" s="1"/>
  <c r="O25"/>
  <c r="O23" s="1"/>
  <c r="O21" s="1"/>
  <c r="S25"/>
  <c r="K27"/>
  <c r="K26" s="1"/>
  <c r="X26" s="1"/>
  <c r="O27"/>
  <c r="O26" s="1"/>
  <c r="S27"/>
  <c r="S26" s="1"/>
  <c r="K29"/>
  <c r="K28" s="1"/>
  <c r="O29"/>
  <c r="O28" s="1"/>
  <c r="S29"/>
  <c r="S28" s="1"/>
  <c r="H33"/>
  <c r="H32" s="1"/>
  <c r="F35"/>
  <c r="F32" s="1"/>
  <c r="X32" s="1"/>
  <c r="X40"/>
  <c r="X8"/>
  <c r="X30"/>
  <c r="X19"/>
  <c r="H29"/>
  <c r="H28" s="1"/>
  <c r="X28" s="1"/>
  <c r="L29"/>
  <c r="L28" s="1"/>
  <c r="L5" s="1"/>
  <c r="L4" s="1"/>
  <c r="P29"/>
  <c r="P28" s="1"/>
  <c r="N49" i="3"/>
  <c r="E48"/>
  <c r="N48" s="1"/>
  <c r="M4"/>
  <c r="L5"/>
  <c r="L4" s="1"/>
  <c r="F21"/>
  <c r="J21"/>
  <c r="J5" s="1"/>
  <c r="J4" s="1"/>
  <c r="N23"/>
  <c r="H5"/>
  <c r="H4" s="1"/>
  <c r="N56"/>
  <c r="E55"/>
  <c r="N55" s="1"/>
  <c r="F5"/>
  <c r="N21"/>
  <c r="F39"/>
  <c r="E9"/>
  <c r="N27"/>
  <c r="N29"/>
  <c r="E43"/>
  <c r="I43"/>
  <c r="I42" s="1"/>
  <c r="I39" s="1"/>
  <c r="I4" s="1"/>
  <c r="M43"/>
  <c r="M42" s="1"/>
  <c r="M39" s="1"/>
  <c r="E51"/>
  <c r="N51" s="1"/>
  <c r="N57"/>
  <c r="J5" i="2"/>
  <c r="R5"/>
  <c r="R4" s="1"/>
  <c r="J39"/>
  <c r="R39"/>
  <c r="G39"/>
  <c r="K39"/>
  <c r="K4" s="1"/>
  <c r="O39"/>
  <c r="O4" s="1"/>
  <c r="S39"/>
  <c r="S4" s="1"/>
  <c r="E55"/>
  <c r="U55" s="1"/>
  <c r="U56"/>
  <c r="I4"/>
  <c r="U11"/>
  <c r="E9"/>
  <c r="U9" s="1"/>
  <c r="U16"/>
  <c r="F39"/>
  <c r="F4" s="1"/>
  <c r="N39"/>
  <c r="I39"/>
  <c r="M39"/>
  <c r="M4" s="1"/>
  <c r="Q39"/>
  <c r="Q4" s="1"/>
  <c r="U48"/>
  <c r="U51"/>
  <c r="G4"/>
  <c r="U32"/>
  <c r="E5"/>
  <c r="E13"/>
  <c r="U13" s="1"/>
  <c r="E26"/>
  <c r="U26" s="1"/>
  <c r="E42"/>
  <c r="E46"/>
  <c r="U46" s="1"/>
  <c r="U12"/>
  <c r="U29"/>
  <c r="U33"/>
  <c r="U45"/>
  <c r="U49"/>
  <c r="U57"/>
  <c r="H5" i="1"/>
  <c r="H4" s="1"/>
  <c r="F9"/>
  <c r="E16"/>
  <c r="E32"/>
  <c r="P32" s="1"/>
  <c r="N42" i="10" l="1"/>
  <c r="N52"/>
  <c r="G4" i="1"/>
  <c r="N29" i="10"/>
  <c r="G4" i="7"/>
  <c r="N33" i="10"/>
  <c r="N30"/>
  <c r="N27"/>
  <c r="N24"/>
  <c r="N22"/>
  <c r="N15"/>
  <c r="N7"/>
  <c r="E39" i="1"/>
  <c r="P39" s="1"/>
  <c r="M40" i="10" s="1"/>
  <c r="N4" i="2"/>
  <c r="X27" i="9"/>
  <c r="F26"/>
  <c r="X26" s="1"/>
  <c r="X29"/>
  <c r="F28"/>
  <c r="X28" s="1"/>
  <c r="X22"/>
  <c r="M21"/>
  <c r="M5" s="1"/>
  <c r="M4" s="1"/>
  <c r="L39"/>
  <c r="L4" s="1"/>
  <c r="X11"/>
  <c r="X35"/>
  <c r="U21"/>
  <c r="U5" s="1"/>
  <c r="U4" s="1"/>
  <c r="X25"/>
  <c r="P39"/>
  <c r="P4" s="1"/>
  <c r="X43"/>
  <c r="M23"/>
  <c r="N21"/>
  <c r="N5" s="1"/>
  <c r="N4" s="1"/>
  <c r="T39"/>
  <c r="T4" s="1"/>
  <c r="X12"/>
  <c r="X49"/>
  <c r="H39"/>
  <c r="X39" s="1"/>
  <c r="X16"/>
  <c r="X24"/>
  <c r="F23"/>
  <c r="X23" s="1"/>
  <c r="T16" i="8"/>
  <c r="E5"/>
  <c r="T43"/>
  <c r="T39"/>
  <c r="L40" i="10" s="1"/>
  <c r="R5" i="8"/>
  <c r="R4" s="1"/>
  <c r="T29"/>
  <c r="T53"/>
  <c r="L54" i="10" s="1"/>
  <c r="N54" s="1"/>
  <c r="T42" i="8"/>
  <c r="T23"/>
  <c r="E55" i="7"/>
  <c r="I55" s="1"/>
  <c r="F56" i="10" s="1"/>
  <c r="N56" s="1"/>
  <c r="I56" i="7"/>
  <c r="F57" i="10" s="1"/>
  <c r="N57" s="1"/>
  <c r="E9" i="7"/>
  <c r="I11"/>
  <c r="F12" i="10" s="1"/>
  <c r="N12" s="1"/>
  <c r="E39" i="7"/>
  <c r="I39" s="1"/>
  <c r="F40" i="10" s="1"/>
  <c r="J44" i="6"/>
  <c r="E43"/>
  <c r="J6"/>
  <c r="J10"/>
  <c r="E48" i="5"/>
  <c r="Q48" s="1"/>
  <c r="Q49"/>
  <c r="Q42"/>
  <c r="M21"/>
  <c r="M5" s="1"/>
  <c r="M4" s="1"/>
  <c r="Q22"/>
  <c r="G4"/>
  <c r="X9" i="4"/>
  <c r="E5"/>
  <c r="X27"/>
  <c r="O5"/>
  <c r="O4" s="1"/>
  <c r="X29"/>
  <c r="H5"/>
  <c r="H4" s="1"/>
  <c r="X33"/>
  <c r="X25"/>
  <c r="F4"/>
  <c r="X35"/>
  <c r="S23"/>
  <c r="S21" s="1"/>
  <c r="S5" s="1"/>
  <c r="S4" s="1"/>
  <c r="X24"/>
  <c r="X21"/>
  <c r="N43" i="3"/>
  <c r="E42"/>
  <c r="N9"/>
  <c r="E5"/>
  <c r="F4"/>
  <c r="E39" i="2"/>
  <c r="U39" s="1"/>
  <c r="U42"/>
  <c r="E4"/>
  <c r="U4" s="1"/>
  <c r="U5"/>
  <c r="J4"/>
  <c r="P9" i="1"/>
  <c r="F5"/>
  <c r="E5"/>
  <c r="P16"/>
  <c r="N40" i="10" l="1"/>
  <c r="F4" i="1"/>
  <c r="F21" i="9"/>
  <c r="H4"/>
  <c r="T5" i="8"/>
  <c r="E4"/>
  <c r="T4" s="1"/>
  <c r="L5" i="10" s="1"/>
  <c r="I9" i="7"/>
  <c r="F10" i="10" s="1"/>
  <c r="N10" s="1"/>
  <c r="E5" i="7"/>
  <c r="E40" i="6"/>
  <c r="J43"/>
  <c r="Q21" i="5"/>
  <c r="E39"/>
  <c r="Q5"/>
  <c r="X5" i="4"/>
  <c r="E4"/>
  <c r="X4" s="1"/>
  <c r="X23"/>
  <c r="E39" i="3"/>
  <c r="N39" s="1"/>
  <c r="N42"/>
  <c r="N5"/>
  <c r="E4"/>
  <c r="N4" s="1"/>
  <c r="E4" i="1"/>
  <c r="P4" s="1"/>
  <c r="M5" i="10" s="1"/>
  <c r="P5" i="1"/>
  <c r="M6" i="10" l="1"/>
  <c r="X21" i="9"/>
  <c r="F5"/>
  <c r="E4" i="7"/>
  <c r="I4" s="1"/>
  <c r="F5" i="10" s="1"/>
  <c r="N5" s="1"/>
  <c r="I5" i="7"/>
  <c r="F6" i="10" s="1"/>
  <c r="J40" i="6"/>
  <c r="E5"/>
  <c r="J5" s="1"/>
  <c r="Q39" i="5"/>
  <c r="E4"/>
  <c r="Q4" s="1"/>
  <c r="N6" i="10" l="1"/>
  <c r="F4" i="9"/>
  <c r="X4" s="1"/>
  <c r="X5"/>
</calcChain>
</file>

<file path=xl/comments1.xml><?xml version="1.0" encoding="utf-8"?>
<comments xmlns="http://schemas.openxmlformats.org/spreadsheetml/2006/main">
  <authors>
    <author>Administrator</author>
  </authors>
  <commentList>
    <comment ref="U17" authorId="0">
      <text>
        <r>
          <rPr>
            <b/>
            <sz val="9"/>
            <rFont val="宋体"/>
            <family val="3"/>
            <charset val="134"/>
          </rPr>
          <t>Administrator:</t>
        </r>
        <r>
          <rPr>
            <sz val="9"/>
            <rFont val="宋体"/>
            <family val="3"/>
            <charset val="134"/>
          </rPr>
          <t xml:space="preserve">
6388279</t>
        </r>
      </text>
    </comment>
  </commentList>
</comments>
</file>

<file path=xl/comments2.xml><?xml version="1.0" encoding="utf-8"?>
<comments xmlns="http://schemas.openxmlformats.org/spreadsheetml/2006/main">
  <authors>
    <author>meng</author>
  </authors>
  <commentList>
    <comment ref="L73" authorId="0">
      <text>
        <r>
          <rPr>
            <b/>
            <sz val="9"/>
            <color indexed="81"/>
            <rFont val="Tahoma"/>
            <family val="2"/>
          </rPr>
          <t>meng:</t>
        </r>
        <r>
          <rPr>
            <sz val="9"/>
            <color indexed="81"/>
            <rFont val="Tahoma"/>
            <family val="2"/>
          </rPr>
          <t xml:space="preserve">
1053.21</t>
        </r>
      </text>
    </comment>
    <comment ref="O73" authorId="0">
      <text>
        <r>
          <rPr>
            <b/>
            <sz val="9"/>
            <color indexed="81"/>
            <rFont val="Tahoma"/>
            <family val="2"/>
          </rPr>
          <t>meng:</t>
        </r>
        <r>
          <rPr>
            <sz val="9"/>
            <color indexed="81"/>
            <rFont val="Tahoma"/>
            <family val="2"/>
          </rPr>
          <t xml:space="preserve">
7453.44</t>
        </r>
      </text>
    </comment>
    <comment ref="L74" authorId="0">
      <text>
        <r>
          <rPr>
            <b/>
            <sz val="9"/>
            <color indexed="81"/>
            <rFont val="Tahoma"/>
            <family val="2"/>
          </rPr>
          <t>meng:</t>
        </r>
        <r>
          <rPr>
            <sz val="9"/>
            <color indexed="81"/>
            <rFont val="Tahoma"/>
            <family val="2"/>
          </rPr>
          <t xml:space="preserve">
520</t>
        </r>
      </text>
    </comment>
    <comment ref="O74" authorId="0">
      <text>
        <r>
          <rPr>
            <b/>
            <sz val="9"/>
            <color indexed="81"/>
            <rFont val="Tahoma"/>
            <family val="2"/>
          </rPr>
          <t>meng:</t>
        </r>
        <r>
          <rPr>
            <sz val="9"/>
            <color indexed="81"/>
            <rFont val="Tahoma"/>
            <family val="2"/>
          </rPr>
          <t xml:space="preserve">
3800</t>
        </r>
      </text>
    </comment>
  </commentList>
</comments>
</file>

<file path=xl/sharedStrings.xml><?xml version="1.0" encoding="utf-8"?>
<sst xmlns="http://schemas.openxmlformats.org/spreadsheetml/2006/main" count="2738" uniqueCount="471">
  <si>
    <t>2026年基本支出预算表</t>
    <phoneticPr fontId="3" type="noConversion"/>
  </si>
  <si>
    <t>序号</t>
  </si>
  <si>
    <t>项目名称</t>
  </si>
  <si>
    <t>功能分类</t>
  </si>
  <si>
    <t>口径</t>
  </si>
  <si>
    <t>上虹中学</t>
  </si>
  <si>
    <t>龙柏中学</t>
  </si>
  <si>
    <t>华师大虹桥学校</t>
  </si>
  <si>
    <t>龙柏一小</t>
  </si>
  <si>
    <t>虹桥小学</t>
  </si>
  <si>
    <t>中心幼儿园</t>
  </si>
  <si>
    <t>虹鹿幼儿园</t>
  </si>
  <si>
    <t>龙柏一幼</t>
  </si>
  <si>
    <t>龙柏二幼</t>
  </si>
  <si>
    <t>华师虹幼</t>
  </si>
  <si>
    <t>社区学校</t>
  </si>
  <si>
    <t>合计</t>
  </si>
  <si>
    <t>备注</t>
  </si>
  <si>
    <t>1</t>
  </si>
  <si>
    <t>基本支出总预算数</t>
  </si>
  <si>
    <t>公式计算</t>
  </si>
  <si>
    <t>2</t>
  </si>
  <si>
    <t>工资福利支出</t>
  </si>
  <si>
    <t>3</t>
  </si>
  <si>
    <t>　　基本工资</t>
  </si>
  <si>
    <t>4</t>
  </si>
  <si>
    <t>　　　　1、岗位工资</t>
  </si>
  <si>
    <t>主款项</t>
  </si>
  <si>
    <t>根据人事口径按实编制</t>
  </si>
  <si>
    <t>5</t>
  </si>
  <si>
    <t>　　　　2、薪级工资</t>
  </si>
  <si>
    <t>6</t>
  </si>
  <si>
    <t>　　津贴补贴</t>
  </si>
  <si>
    <t>7</t>
  </si>
  <si>
    <t>　　　　1、各类津贴★▲</t>
  </si>
  <si>
    <t>8</t>
  </si>
  <si>
    <t>　　　　2、各类补贴</t>
  </si>
  <si>
    <t>9</t>
  </si>
  <si>
    <t>10</t>
  </si>
  <si>
    <t>　　其他社会保障缴费</t>
  </si>
  <si>
    <t>注：社保缴费基数应该相同</t>
  </si>
  <si>
    <t>11</t>
  </si>
  <si>
    <t>公式计算（请检查）</t>
  </si>
  <si>
    <t>12</t>
  </si>
  <si>
    <t>13</t>
  </si>
  <si>
    <t>　　绩效工资</t>
  </si>
  <si>
    <t>14</t>
  </si>
  <si>
    <t>　　　　1、绩效工资</t>
  </si>
  <si>
    <t>15</t>
  </si>
  <si>
    <t>　　　　2、校长职级制</t>
  </si>
  <si>
    <t>根据校长职级制按实编制</t>
  </si>
  <si>
    <t>16</t>
  </si>
  <si>
    <t>17</t>
  </si>
  <si>
    <t>18</t>
  </si>
  <si>
    <t xml:space="preserve">   城镇职工基本医疗保险缴费</t>
  </si>
  <si>
    <t>19</t>
  </si>
  <si>
    <t>事业单位医疗</t>
  </si>
  <si>
    <t>20</t>
  </si>
  <si>
    <t>21</t>
  </si>
  <si>
    <t>22</t>
  </si>
  <si>
    <t>23</t>
  </si>
  <si>
    <t>　　事业单位基本养老保险缴费</t>
  </si>
  <si>
    <t>24</t>
  </si>
  <si>
    <t>养老保险</t>
  </si>
  <si>
    <t>25</t>
  </si>
  <si>
    <t>　　职业年金缴纳</t>
  </si>
  <si>
    <t>26</t>
  </si>
  <si>
    <t>　　　　1、职业年金8%</t>
  </si>
  <si>
    <t>职业年金</t>
  </si>
  <si>
    <t>27</t>
  </si>
  <si>
    <t>公积金</t>
  </si>
  <si>
    <t>28</t>
  </si>
  <si>
    <t>29</t>
  </si>
  <si>
    <t>对个人和家庭补助</t>
  </si>
  <si>
    <t>30</t>
  </si>
  <si>
    <t>离退休</t>
  </si>
  <si>
    <t>31</t>
  </si>
  <si>
    <t>32</t>
  </si>
  <si>
    <t>　　奖励金</t>
  </si>
  <si>
    <t>33</t>
  </si>
  <si>
    <t>　　　　1、独生子女奖励费▲</t>
  </si>
  <si>
    <t>34</t>
  </si>
  <si>
    <t>　　其他支出对个人和家庭补助</t>
  </si>
  <si>
    <t>35</t>
  </si>
  <si>
    <t>除罗阳小学3人及七宝二中1人的退休共享费外，其他学校填0</t>
  </si>
  <si>
    <t>36</t>
  </si>
  <si>
    <t>商品和服务支出和其他资本性支出</t>
  </si>
  <si>
    <t>37</t>
  </si>
  <si>
    <t>　　(一)公用定额</t>
  </si>
  <si>
    <t>学生人数*定额</t>
  </si>
  <si>
    <t>38</t>
  </si>
  <si>
    <t>39</t>
  </si>
  <si>
    <t>　　(二)培训费</t>
  </si>
  <si>
    <t>40</t>
  </si>
  <si>
    <t>　　　　1、进修、培训 400元/年教师</t>
  </si>
  <si>
    <t>教职工人数*400元（公式计算）</t>
  </si>
  <si>
    <t>41</t>
  </si>
  <si>
    <t>　　(三)维修(护)费</t>
  </si>
  <si>
    <t>42</t>
  </si>
  <si>
    <t>　　　　1、房屋维修费 15元/年平方米</t>
  </si>
  <si>
    <t>房屋面积*15元（公式计算）</t>
  </si>
  <si>
    <t>43</t>
  </si>
  <si>
    <t>　　(四)物业管理费</t>
  </si>
  <si>
    <t>44</t>
  </si>
  <si>
    <t>　　　　1、绿化维护费 8元/年平方米</t>
  </si>
  <si>
    <t>绿化面积*8元（公式计算）</t>
  </si>
  <si>
    <t>45</t>
  </si>
  <si>
    <t>46</t>
  </si>
  <si>
    <t>教职工人数*4320元（公式计算）</t>
  </si>
  <si>
    <t>47</t>
  </si>
  <si>
    <t>48</t>
  </si>
  <si>
    <t>49</t>
  </si>
  <si>
    <t>　　　　1、工会经费2%</t>
  </si>
  <si>
    <t>50</t>
  </si>
  <si>
    <t>51</t>
  </si>
  <si>
    <t>　　　　1、教育系统，校/辆</t>
  </si>
  <si>
    <t>52</t>
  </si>
  <si>
    <t>53</t>
  </si>
  <si>
    <t>54</t>
  </si>
  <si>
    <t>　　　　　　(1)活动费(活动费+活动费(托管))</t>
  </si>
  <si>
    <t>55</t>
  </si>
  <si>
    <t>没有，填0</t>
  </si>
  <si>
    <t>56</t>
  </si>
  <si>
    <t>57</t>
  </si>
  <si>
    <t>　　　　2、教育系统</t>
  </si>
  <si>
    <t>58</t>
  </si>
  <si>
    <t>学校基本情况：</t>
  </si>
  <si>
    <t>59</t>
  </si>
  <si>
    <t>1、教职工(人数)</t>
  </si>
  <si>
    <t>60</t>
  </si>
  <si>
    <t xml:space="preserve">       初中</t>
  </si>
  <si>
    <t>61</t>
  </si>
  <si>
    <t xml:space="preserve">       小学</t>
  </si>
  <si>
    <t>62</t>
  </si>
  <si>
    <t xml:space="preserve">       幼儿园</t>
  </si>
  <si>
    <t>63</t>
  </si>
  <si>
    <t xml:space="preserve">       其他</t>
  </si>
  <si>
    <t>64</t>
  </si>
  <si>
    <t>2、学生(人数)</t>
  </si>
  <si>
    <t>65</t>
  </si>
  <si>
    <t>66</t>
  </si>
  <si>
    <t>67</t>
  </si>
  <si>
    <t>68</t>
  </si>
  <si>
    <t>69</t>
  </si>
  <si>
    <t>70</t>
  </si>
  <si>
    <t>71</t>
  </si>
  <si>
    <t>梅陇实验</t>
    <phoneticPr fontId="3" type="noConversion"/>
  </si>
  <si>
    <t>罗阳中学</t>
    <phoneticPr fontId="3" type="noConversion"/>
  </si>
  <si>
    <t>金都实验</t>
    <phoneticPr fontId="3" type="noConversion"/>
  </si>
  <si>
    <t>晶城中学</t>
    <phoneticPr fontId="3" type="noConversion"/>
  </si>
  <si>
    <t>第三实验</t>
    <phoneticPr fontId="3" type="noConversion"/>
  </si>
  <si>
    <t>罗阳小学</t>
    <phoneticPr fontId="3" type="noConversion"/>
  </si>
  <si>
    <t>蔷薇小学</t>
    <phoneticPr fontId="3" type="noConversion"/>
  </si>
  <si>
    <t>梅陇中心幼</t>
    <phoneticPr fontId="3" type="noConversion"/>
  </si>
  <si>
    <t>曹行中心幼</t>
    <phoneticPr fontId="3" type="noConversion"/>
  </si>
  <si>
    <t>春申景城幼</t>
    <phoneticPr fontId="3" type="noConversion"/>
  </si>
  <si>
    <t>罗阳河畔幼</t>
    <phoneticPr fontId="3" type="noConversion"/>
  </si>
  <si>
    <t>晶华坊幼</t>
    <phoneticPr fontId="3" type="noConversion"/>
  </si>
  <si>
    <t>金都幼儿园</t>
    <phoneticPr fontId="3" type="noConversion"/>
  </si>
  <si>
    <t>梅锦幼儿园</t>
    <phoneticPr fontId="3" type="noConversion"/>
  </si>
  <si>
    <t>梅陇永联幼</t>
    <phoneticPr fontId="3" type="noConversion"/>
  </si>
  <si>
    <t>梅陇社区校</t>
    <phoneticPr fontId="3" type="noConversion"/>
  </si>
  <si>
    <t>一贯制</t>
    <phoneticPr fontId="3" type="noConversion"/>
  </si>
  <si>
    <t>初中</t>
    <phoneticPr fontId="3" type="noConversion"/>
  </si>
  <si>
    <t>小学</t>
    <phoneticPr fontId="3" type="noConversion"/>
  </si>
  <si>
    <t>幼儿园</t>
    <phoneticPr fontId="3" type="noConversion"/>
  </si>
  <si>
    <t>成人</t>
    <phoneticPr fontId="3" type="noConversion"/>
  </si>
  <si>
    <t>社区学校</t>
    <phoneticPr fontId="3" type="noConversion"/>
  </si>
  <si>
    <t>2026年基本支出预算表</t>
  </si>
  <si>
    <t>七宝二中</t>
  </si>
  <si>
    <t>七宝实验中学</t>
  </si>
  <si>
    <t>航华中学</t>
  </si>
  <si>
    <t>七宝三中</t>
  </si>
  <si>
    <t>明强小学</t>
  </si>
  <si>
    <t>黎明小学</t>
  </si>
  <si>
    <t>七宝实小</t>
  </si>
  <si>
    <t>航华二小</t>
  </si>
  <si>
    <t>明强二小</t>
  </si>
  <si>
    <t>星辰</t>
  </si>
  <si>
    <t>春欣</t>
  </si>
  <si>
    <t>七实幼</t>
  </si>
  <si>
    <t>航华二幼</t>
  </si>
  <si>
    <t>七宝社区</t>
  </si>
  <si>
    <t>皇都</t>
  </si>
  <si>
    <t>文来</t>
  </si>
  <si>
    <t>明强幼</t>
  </si>
  <si>
    <t>七宝幼</t>
  </si>
  <si>
    <t>宝盛</t>
  </si>
  <si>
    <t>　　　　　　(1)上下班交通费补贴</t>
  </si>
  <si>
    <t>　　　　1、工伤保险费0.5(0.2%-1.9%)</t>
  </si>
  <si>
    <t>　　　　2、失业保险0.5%</t>
  </si>
  <si>
    <t>根据人保科数字编制</t>
  </si>
  <si>
    <t>　　　　3、工作餐补贴</t>
  </si>
  <si>
    <t>　　　　4、课后服务(在编人员）</t>
  </si>
  <si>
    <t>　　　　1、基本养老保险16%</t>
  </si>
  <si>
    <t xml:space="preserve">    其他工资福利</t>
  </si>
  <si>
    <t>年初预算为0</t>
  </si>
  <si>
    <t xml:space="preserve">    退休费</t>
  </si>
  <si>
    <t>根据退休人员情况按实编制</t>
  </si>
  <si>
    <t xml:space="preserve">        1、退休人员生活补贴</t>
  </si>
  <si>
    <t>　　　　1、其他</t>
  </si>
  <si>
    <t xml:space="preserve">       其中：培训费</t>
  </si>
  <si>
    <t>生均定额5%</t>
  </si>
  <si>
    <t>　　(五)福利费</t>
  </si>
  <si>
    <t>　　　　1、在职福利费</t>
  </si>
  <si>
    <t>　　　　2、离退休福利费</t>
  </si>
  <si>
    <t>离退休人数*4320元（公式计算）</t>
  </si>
  <si>
    <t>　　(六)工会经费</t>
  </si>
  <si>
    <t>　　(七)公务用车运行维护费★</t>
  </si>
  <si>
    <t>机关局有编制的车辆数*32000元/25000元/年（分园及分校预算在其他交通费中编制）</t>
  </si>
  <si>
    <t>　　(八)其他商品和服务支出</t>
  </si>
  <si>
    <t>　　　　1、离退休公用支出</t>
  </si>
  <si>
    <t>离退休人数*400元/年（公式计算）</t>
  </si>
  <si>
    <t>　　　　2、子女幼托费</t>
  </si>
  <si>
    <t>　　(九)其他交通费用</t>
  </si>
  <si>
    <t xml:space="preserve">
机关局无编制车辆的学校按32000元编制预算
机关局有编制的车辆，每分校增加10000元，每个分园增加5000元编制预算</t>
  </si>
  <si>
    <t>填写2025年秋季在编教职工人数</t>
  </si>
  <si>
    <t>填写2025年秋季学期学生人数，以招办人数为准</t>
  </si>
  <si>
    <t>3、事业退休人员人数</t>
  </si>
  <si>
    <t>4、教育单位房屋（面积）</t>
  </si>
  <si>
    <t>5、教育单位绿化（面积）</t>
  </si>
  <si>
    <t>上海市马桥强恕学校</t>
    <phoneticPr fontId="3" type="noConversion"/>
  </si>
  <si>
    <t>上海交通大学附属闵行马桥实验学校</t>
    <phoneticPr fontId="3" type="noConversion"/>
  </si>
  <si>
    <t>上海市闵行区马桥复旦万科实验中学</t>
    <phoneticPr fontId="3" type="noConversion"/>
  </si>
  <si>
    <t>上海市闵行区马桥文来外国语小学</t>
    <phoneticPr fontId="3" type="noConversion"/>
  </si>
  <si>
    <t>上海市闵行区马桥实验幼儿园</t>
    <phoneticPr fontId="3" type="noConversion"/>
  </si>
  <si>
    <t>上海市闵行区马桥富国幼儿园</t>
    <phoneticPr fontId="3" type="noConversion"/>
  </si>
  <si>
    <t>上海市闵行区马桥富卓幼儿园</t>
    <phoneticPr fontId="3" type="noConversion"/>
  </si>
  <si>
    <t>上海市闵行区马桥启英幼儿园</t>
    <phoneticPr fontId="3" type="noConversion"/>
  </si>
  <si>
    <t>闵行区马桥中心幼儿园</t>
    <phoneticPr fontId="3" type="noConversion"/>
  </si>
  <si>
    <t>上海市闵行区马桥元祥幼儿园</t>
    <phoneticPr fontId="3" type="noConversion"/>
  </si>
  <si>
    <t>上海市闵行区马桥富杰幼儿园</t>
    <phoneticPr fontId="3" type="noConversion"/>
  </si>
  <si>
    <t>马桥社区学校</t>
    <phoneticPr fontId="3" type="noConversion"/>
  </si>
  <si>
    <t>康城幼儿园</t>
  </si>
  <si>
    <t>实验幼儿园</t>
  </si>
  <si>
    <t>佳佳幼儿园</t>
    <phoneticPr fontId="3" type="noConversion"/>
  </si>
  <si>
    <t>明星学校</t>
    <phoneticPr fontId="3" type="noConversion"/>
  </si>
  <si>
    <t>上海市闵行区景东小学</t>
  </si>
  <si>
    <t>上海交通大学附属闵行吴泾幼儿园</t>
  </si>
  <si>
    <t>华东师范大学附属闵行永德幼儿园</t>
  </si>
  <si>
    <t>上海市闵行区吴泾镇社区学校</t>
  </si>
  <si>
    <t>颛桥中学</t>
  </si>
  <si>
    <t>北桥中学</t>
  </si>
  <si>
    <t>颛桥小学</t>
  </si>
  <si>
    <t>北桥小学</t>
  </si>
  <si>
    <t>田园外小</t>
  </si>
  <si>
    <t>田园二外小</t>
  </si>
  <si>
    <t>颛桥一幼</t>
  </si>
  <si>
    <t>颛桥镇幼</t>
  </si>
  <si>
    <t>君莲幼儿园</t>
  </si>
  <si>
    <t>上师大幼</t>
  </si>
  <si>
    <t>君莲学校</t>
  </si>
  <si>
    <t>颛桥镇二幼</t>
  </si>
  <si>
    <t>田园中学</t>
  </si>
  <si>
    <t>田园幼儿园</t>
  </si>
  <si>
    <t>浦江三中</t>
  </si>
  <si>
    <t>浦航实中</t>
  </si>
  <si>
    <t>浦江二幼</t>
  </si>
  <si>
    <t>浦江三幼</t>
  </si>
  <si>
    <t>浦瑞幼儿园</t>
  </si>
  <si>
    <t>浦航幼儿园</t>
  </si>
  <si>
    <t>初中</t>
    <phoneticPr fontId="2" type="noConversion"/>
  </si>
  <si>
    <t>一贯制</t>
    <phoneticPr fontId="2" type="noConversion"/>
  </si>
  <si>
    <t>小学</t>
    <phoneticPr fontId="2" type="noConversion"/>
  </si>
  <si>
    <t>幼儿园</t>
    <phoneticPr fontId="2" type="noConversion"/>
  </si>
  <si>
    <t>成人</t>
    <phoneticPr fontId="2" type="noConversion"/>
  </si>
  <si>
    <t>　　　　　　(1)上下班交通费补贴</t>
    <phoneticPr fontId="3" type="noConversion"/>
  </si>
  <si>
    <t>　　　　1、工伤保险费0.5(0.2%-1.9%)</t>
    <phoneticPr fontId="3" type="noConversion"/>
  </si>
  <si>
    <t>　　　　2、失业保险0.5%</t>
    <phoneticPr fontId="3" type="noConversion"/>
  </si>
  <si>
    <t>根据人保科数字编制</t>
    <phoneticPr fontId="3" type="noConversion"/>
  </si>
  <si>
    <t>　　　　3、工作餐补贴</t>
    <phoneticPr fontId="3" type="noConversion"/>
  </si>
  <si>
    <t>　　　　4、课后服务(在编人员）</t>
    <phoneticPr fontId="3" type="noConversion"/>
  </si>
  <si>
    <t xml:space="preserve">        1、医疗保险费9%</t>
    <phoneticPr fontId="3" type="noConversion"/>
  </si>
  <si>
    <t xml:space="preserve">        2、其他医疗保险费4%</t>
    <phoneticPr fontId="3" type="noConversion"/>
  </si>
  <si>
    <t xml:space="preserve">     (1)其他保险2%(统筹)：住院及大病补助</t>
    <phoneticPr fontId="3" type="noConversion"/>
  </si>
  <si>
    <t xml:space="preserve">     (2)其他保险2%(单位)：购买保险</t>
    <phoneticPr fontId="3" type="noConversion"/>
  </si>
  <si>
    <t>　　　　1、基本养老保险16%</t>
    <phoneticPr fontId="3" type="noConversion"/>
  </si>
  <si>
    <t xml:space="preserve">    公积金7%</t>
    <phoneticPr fontId="3" type="noConversion"/>
  </si>
  <si>
    <t>根据人事口径按实编制</t>
    <phoneticPr fontId="3" type="noConversion"/>
  </si>
  <si>
    <t xml:space="preserve">    其他工资福利</t>
    <phoneticPr fontId="3" type="noConversion"/>
  </si>
  <si>
    <t>年初预算为0</t>
    <phoneticPr fontId="3" type="noConversion"/>
  </si>
  <si>
    <t xml:space="preserve">    退休费</t>
    <phoneticPr fontId="3" type="noConversion"/>
  </si>
  <si>
    <t>根据退休人员情况按实编制</t>
    <phoneticPr fontId="3" type="noConversion"/>
  </si>
  <si>
    <t xml:space="preserve">        1、退休人员生活补贴</t>
    <phoneticPr fontId="3" type="noConversion"/>
  </si>
  <si>
    <t>　　　　1、其他</t>
    <phoneticPr fontId="3" type="noConversion"/>
  </si>
  <si>
    <t xml:space="preserve">       其中：培训费</t>
    <phoneticPr fontId="3" type="noConversion"/>
  </si>
  <si>
    <t>主款项</t>
    <phoneticPr fontId="3" type="noConversion"/>
  </si>
  <si>
    <t>生均定额5%</t>
    <phoneticPr fontId="3" type="noConversion"/>
  </si>
  <si>
    <t>　　(五)福利费</t>
    <phoneticPr fontId="3" type="noConversion"/>
  </si>
  <si>
    <t>　　　　1、在职福利费</t>
    <phoneticPr fontId="3" type="noConversion"/>
  </si>
  <si>
    <t>　　　　2、离退休福利费</t>
    <phoneticPr fontId="3" type="noConversion"/>
  </si>
  <si>
    <t>离退休人数*4320元（公式计算）</t>
    <phoneticPr fontId="3" type="noConversion"/>
  </si>
  <si>
    <t>　　(六)工会经费</t>
    <phoneticPr fontId="3" type="noConversion"/>
  </si>
  <si>
    <t>　　(七)公务用车运行维护费★</t>
    <phoneticPr fontId="3" type="noConversion"/>
  </si>
  <si>
    <t>机关局有编制的车辆数*32000元/25000元/年（分园及分校预算在其他交通费中编制）</t>
    <phoneticPr fontId="3" type="noConversion"/>
  </si>
  <si>
    <t>　　(八)其他商品和服务支出</t>
    <phoneticPr fontId="3" type="noConversion"/>
  </si>
  <si>
    <t>　　　　1、离退休公用支出</t>
    <phoneticPr fontId="3" type="noConversion"/>
  </si>
  <si>
    <t>离退休人数*400元/年（公式计算）</t>
    <phoneticPr fontId="3" type="noConversion"/>
  </si>
  <si>
    <t>　　　　2、子女幼托费</t>
    <phoneticPr fontId="3" type="noConversion"/>
  </si>
  <si>
    <t>　　(九)其他交通费用</t>
    <phoneticPr fontId="3" type="noConversion"/>
  </si>
  <si>
    <t xml:space="preserve">
机关局无编制车辆的学校按32000元编制预算
机关局有编制的车辆，每分校增加10000元，每个分园增加5000元编制预算</t>
    <phoneticPr fontId="3" type="noConversion"/>
  </si>
  <si>
    <t>填写2025年秋季在编教职工人数</t>
    <phoneticPr fontId="3" type="noConversion"/>
  </si>
  <si>
    <t>填写2025年秋季学期学生人数，以招办人数为准</t>
    <phoneticPr fontId="3" type="noConversion"/>
  </si>
  <si>
    <t>3、事业退休人员人数</t>
    <phoneticPr fontId="3" type="noConversion"/>
  </si>
  <si>
    <t>4、教育单位房屋（面积）</t>
    <phoneticPr fontId="3" type="noConversion"/>
  </si>
  <si>
    <t>5、教育单位绿化（面积）</t>
    <phoneticPr fontId="3" type="noConversion"/>
  </si>
  <si>
    <t xml:space="preserve">        2、其他医疗保险费4%</t>
    <phoneticPr fontId="3" type="noConversion"/>
  </si>
  <si>
    <t xml:space="preserve">     (1)其他保险2%(统筹)：住院及大病补助</t>
    <phoneticPr fontId="3" type="noConversion"/>
  </si>
  <si>
    <t xml:space="preserve">     (2)其他保险2%(单位)：购买保险</t>
    <phoneticPr fontId="3" type="noConversion"/>
  </si>
  <si>
    <t>　　　　1、基本养老保险16%</t>
    <phoneticPr fontId="3" type="noConversion"/>
  </si>
  <si>
    <t xml:space="preserve">    公积金7%</t>
    <phoneticPr fontId="3" type="noConversion"/>
  </si>
  <si>
    <t xml:space="preserve">        1、退休人员生活补贴</t>
    <phoneticPr fontId="3" type="noConversion"/>
  </si>
  <si>
    <t>主款项</t>
    <phoneticPr fontId="3" type="noConversion"/>
  </si>
  <si>
    <t>生均定额5%</t>
    <phoneticPr fontId="3" type="noConversion"/>
  </si>
  <si>
    <t>2026年基本支出预算表</t>
    <phoneticPr fontId="3" type="noConversion"/>
  </si>
  <si>
    <t>华漕学校</t>
    <phoneticPr fontId="3" type="noConversion"/>
  </si>
  <si>
    <t>社区学校</t>
    <phoneticPr fontId="3" type="noConversion"/>
  </si>
  <si>
    <t>诸翟学校</t>
    <phoneticPr fontId="3" type="noConversion"/>
  </si>
  <si>
    <t>金色幼儿园</t>
    <phoneticPr fontId="3" type="noConversion"/>
  </si>
  <si>
    <t>华漕幼儿园</t>
    <phoneticPr fontId="3" type="noConversion"/>
  </si>
  <si>
    <t>诸翟幼儿园</t>
    <phoneticPr fontId="3" type="noConversion"/>
  </si>
  <si>
    <t>季乐路幼儿园</t>
    <phoneticPr fontId="3" type="noConversion"/>
  </si>
  <si>
    <t>纪王学校</t>
    <phoneticPr fontId="3" type="noConversion"/>
  </si>
  <si>
    <t>纪王幼儿园</t>
    <phoneticPr fontId="3" type="noConversion"/>
  </si>
  <si>
    <t>一贯制</t>
    <phoneticPr fontId="3" type="noConversion"/>
  </si>
  <si>
    <t>成人</t>
    <phoneticPr fontId="3" type="noConversion"/>
  </si>
  <si>
    <t>一贯制</t>
    <phoneticPr fontId="3" type="noConversion"/>
  </si>
  <si>
    <t>幼儿园</t>
    <phoneticPr fontId="3" type="noConversion"/>
  </si>
  <si>
    <t>初中</t>
    <phoneticPr fontId="3" type="noConversion"/>
  </si>
  <si>
    <t>初中</t>
    <phoneticPr fontId="3" type="noConversion"/>
  </si>
  <si>
    <t>小学</t>
    <phoneticPr fontId="3" type="noConversion"/>
  </si>
  <si>
    <t xml:space="preserve">        1、医疗保险费9%</t>
  </si>
  <si>
    <t xml:space="preserve">        2、其他医疗保险费4%</t>
  </si>
  <si>
    <t xml:space="preserve">     (1)其他保险2%(统筹)：住院及大病补助</t>
  </si>
  <si>
    <t xml:space="preserve">     (2)其他保险2%(单位)：购买保险</t>
  </si>
  <si>
    <t xml:space="preserve">    公积金7%</t>
  </si>
  <si>
    <t>小学</t>
    <phoneticPr fontId="3" type="noConversion"/>
  </si>
  <si>
    <t>幼儿园</t>
    <phoneticPr fontId="3" type="noConversion"/>
  </si>
  <si>
    <t>成人</t>
    <phoneticPr fontId="3" type="noConversion"/>
  </si>
  <si>
    <t>初中</t>
    <phoneticPr fontId="3" type="noConversion"/>
  </si>
  <si>
    <t>小学</t>
    <phoneticPr fontId="3" type="noConversion"/>
  </si>
  <si>
    <t>幼儿园</t>
    <phoneticPr fontId="3" type="noConversion"/>
  </si>
  <si>
    <t>成人</t>
    <phoneticPr fontId="3" type="noConversion"/>
  </si>
  <si>
    <t>浦江二中</t>
    <phoneticPr fontId="3" type="noConversion"/>
  </si>
  <si>
    <t>世外浦江</t>
    <phoneticPr fontId="3" type="noConversion"/>
  </si>
  <si>
    <t>上师附中</t>
    <phoneticPr fontId="3" type="noConversion"/>
  </si>
  <si>
    <t>浦江二小</t>
    <phoneticPr fontId="3" type="noConversion"/>
  </si>
  <si>
    <t>浦江三小</t>
    <phoneticPr fontId="3" type="noConversion"/>
  </si>
  <si>
    <t>浦汇小学</t>
    <phoneticPr fontId="3" type="noConversion"/>
  </si>
  <si>
    <t>上戏附校</t>
    <phoneticPr fontId="3" type="noConversion"/>
  </si>
  <si>
    <t>福山实验</t>
    <phoneticPr fontId="3" type="noConversion"/>
  </si>
  <si>
    <t>宝邸幼儿园</t>
    <phoneticPr fontId="3" type="noConversion"/>
  </si>
  <si>
    <t>闸航幼</t>
    <phoneticPr fontId="3" type="noConversion"/>
  </si>
  <si>
    <t>瑞和城幼</t>
    <phoneticPr fontId="3" type="noConversion"/>
  </si>
  <si>
    <t>浦莲幼儿园</t>
    <phoneticPr fontId="3" type="noConversion"/>
  </si>
  <si>
    <t>浦江社校</t>
    <phoneticPr fontId="3" type="noConversion"/>
  </si>
  <si>
    <t>　　　　　　(1)上下班交通费补贴</t>
    <phoneticPr fontId="3" type="noConversion"/>
  </si>
  <si>
    <t>　　　　1、工伤保险费0.5(0.2%-1.9%)</t>
    <phoneticPr fontId="3" type="noConversion"/>
  </si>
  <si>
    <t>　　　　2、失业保险0.5%</t>
    <phoneticPr fontId="3" type="noConversion"/>
  </si>
  <si>
    <t>根据人保科数字编制</t>
    <phoneticPr fontId="3" type="noConversion"/>
  </si>
  <si>
    <t>　　　　3、工作餐补贴</t>
    <phoneticPr fontId="3" type="noConversion"/>
  </si>
  <si>
    <t>　　　　4、课后服务(在编人员）</t>
    <phoneticPr fontId="3" type="noConversion"/>
  </si>
  <si>
    <t xml:space="preserve">        1、医疗保险费9%</t>
    <phoneticPr fontId="3" type="noConversion"/>
  </si>
  <si>
    <t xml:space="preserve">        2、其他医疗保险费4%</t>
    <phoneticPr fontId="3" type="noConversion"/>
  </si>
  <si>
    <t xml:space="preserve">     (1)其他保险2%(统筹)：住院及大病补助</t>
    <phoneticPr fontId="3" type="noConversion"/>
  </si>
  <si>
    <t xml:space="preserve">     (2)其他保险2%(单位)：购买保险</t>
    <phoneticPr fontId="3" type="noConversion"/>
  </si>
  <si>
    <t>　　　　1、基本养老保险16%</t>
    <phoneticPr fontId="3" type="noConversion"/>
  </si>
  <si>
    <t xml:space="preserve">    公积金7%</t>
    <phoneticPr fontId="3" type="noConversion"/>
  </si>
  <si>
    <t>根据人事口径按实编制</t>
    <phoneticPr fontId="3" type="noConversion"/>
  </si>
  <si>
    <t xml:space="preserve">    其他工资福利</t>
    <phoneticPr fontId="3" type="noConversion"/>
  </si>
  <si>
    <t>年初预算为0</t>
    <phoneticPr fontId="3" type="noConversion"/>
  </si>
  <si>
    <t xml:space="preserve">    退休费</t>
    <phoneticPr fontId="3" type="noConversion"/>
  </si>
  <si>
    <t>根据退休人员情况按实编制</t>
    <phoneticPr fontId="3" type="noConversion"/>
  </si>
  <si>
    <t xml:space="preserve">        1、退休人员生活补贴</t>
    <phoneticPr fontId="3" type="noConversion"/>
  </si>
  <si>
    <t>　　　　1、其他</t>
    <phoneticPr fontId="3" type="noConversion"/>
  </si>
  <si>
    <t xml:space="preserve">       其中：培训费</t>
    <phoneticPr fontId="3" type="noConversion"/>
  </si>
  <si>
    <t>主款项</t>
    <phoneticPr fontId="3" type="noConversion"/>
  </si>
  <si>
    <t>生均定额5%</t>
    <phoneticPr fontId="3" type="noConversion"/>
  </si>
  <si>
    <t>莘庄镇</t>
    <phoneticPr fontId="2" type="noConversion"/>
  </si>
  <si>
    <t>吴泾镇</t>
    <phoneticPr fontId="2" type="noConversion"/>
  </si>
  <si>
    <t>七宝镇</t>
    <phoneticPr fontId="3" type="noConversion"/>
  </si>
  <si>
    <t>成人</t>
    <phoneticPr fontId="3" type="noConversion"/>
  </si>
  <si>
    <t>一贯制</t>
    <phoneticPr fontId="3" type="noConversion"/>
  </si>
  <si>
    <t>浦江镇</t>
    <phoneticPr fontId="3" type="noConversion"/>
  </si>
  <si>
    <t>梅陇镇</t>
    <phoneticPr fontId="3" type="noConversion"/>
  </si>
  <si>
    <t>马桥镇</t>
    <phoneticPr fontId="3" type="noConversion"/>
  </si>
  <si>
    <t>华漕镇</t>
    <phoneticPr fontId="3" type="noConversion"/>
  </si>
  <si>
    <t>颛桥镇</t>
    <phoneticPr fontId="3" type="noConversion"/>
  </si>
  <si>
    <t>虹桥镇</t>
    <phoneticPr fontId="3" type="noConversion"/>
  </si>
  <si>
    <t>镇属</t>
    <phoneticPr fontId="2" type="noConversion"/>
  </si>
  <si>
    <t>吴泾</t>
  </si>
  <si>
    <t xml:space="preserve">                                                                                                          单位：元</t>
    <phoneticPr fontId="2" type="noConversion"/>
  </si>
  <si>
    <t>单位</t>
    <phoneticPr fontId="2" type="noConversion"/>
  </si>
  <si>
    <t>学段</t>
    <phoneticPr fontId="2" type="noConversion"/>
  </si>
  <si>
    <t>2026年年初预算</t>
    <phoneticPr fontId="2" type="noConversion"/>
  </si>
  <si>
    <t>吴泾</t>
    <phoneticPr fontId="2" type="noConversion"/>
  </si>
  <si>
    <t>吴泾合计</t>
    <phoneticPr fontId="2" type="noConversion"/>
  </si>
  <si>
    <t>2025年最后一笔绩效工资分配情况</t>
    <phoneticPr fontId="2" type="noConversion"/>
  </si>
  <si>
    <t>学校名称</t>
  </si>
  <si>
    <t>总量</t>
  </si>
  <si>
    <t>其中校长职级</t>
  </si>
  <si>
    <t>闵行区虹桥中心小学</t>
  </si>
  <si>
    <t>总计</t>
    <phoneticPr fontId="2" type="noConversion"/>
  </si>
  <si>
    <t>单位：元</t>
    <phoneticPr fontId="3" type="noConversion"/>
  </si>
  <si>
    <t>单位：元</t>
    <phoneticPr fontId="2" type="noConversion"/>
  </si>
  <si>
    <t>单位：元</t>
    <phoneticPr fontId="2" type="noConversion"/>
  </si>
  <si>
    <t>单位：元</t>
    <phoneticPr fontId="2" type="noConversion"/>
  </si>
  <si>
    <t>2026年基本支出预算表（莘庄镇）</t>
    <phoneticPr fontId="2" type="noConversion"/>
  </si>
  <si>
    <t>学校</t>
  </si>
  <si>
    <t>景东小学</t>
  </si>
  <si>
    <t>2025年吴泾镇镇管学校校舍维修项目</t>
  </si>
  <si>
    <t>闵行区塘湾中心幼儿园</t>
  </si>
  <si>
    <t>华东师范大学闵行永德实验幼儿园</t>
  </si>
  <si>
    <t>上海闵行区民办塘湾小学</t>
  </si>
  <si>
    <t>2025年塘湾小学校舍维修项目</t>
  </si>
  <si>
    <t>2025年塘湾小学电扩容项目</t>
  </si>
  <si>
    <t>施工
合同价（元）</t>
    <phoneticPr fontId="2" type="noConversion"/>
  </si>
  <si>
    <t>工程
审定价（元）</t>
    <phoneticPr fontId="2" type="noConversion"/>
  </si>
  <si>
    <t>二类
费用（元）</t>
    <phoneticPr fontId="2" type="noConversion"/>
  </si>
  <si>
    <t>应执行
金额（元）</t>
    <phoneticPr fontId="2" type="noConversion"/>
  </si>
  <si>
    <t>已执行
金额（元）</t>
    <phoneticPr fontId="2" type="noConversion"/>
  </si>
  <si>
    <t>尾款
清算金额（元）</t>
    <phoneticPr fontId="2" type="noConversion"/>
  </si>
  <si>
    <t>2026年实际需求</t>
    <phoneticPr fontId="2" type="noConversion"/>
  </si>
  <si>
    <t>二次分配</t>
    <phoneticPr fontId="2" type="noConversion"/>
  </si>
  <si>
    <t>2026年镇属学校残疾人就业保障预算调整表</t>
    <phoneticPr fontId="2" type="noConversion"/>
  </si>
  <si>
    <t>2026年镇属学校校舍维修尾款清算表（2025年项目）</t>
    <phoneticPr fontId="2" type="noConversion"/>
  </si>
  <si>
    <t>总投资（元）
（财政批复金额）</t>
    <phoneticPr fontId="2" type="noConversion"/>
  </si>
  <si>
    <t>建安费（元）
（财政批复金额）</t>
    <phoneticPr fontId="2" type="noConversion"/>
  </si>
  <si>
    <t>2026年镇属学校社区教育调整预算表</t>
    <phoneticPr fontId="2" type="noConversion"/>
  </si>
  <si>
    <t>单位：元</t>
    <phoneticPr fontId="2" type="noConversion"/>
  </si>
  <si>
    <t>合计</t>
    <phoneticPr fontId="2" type="noConversion"/>
  </si>
  <si>
    <t>镇属</t>
    <phoneticPr fontId="2" type="noConversion"/>
  </si>
  <si>
    <t>年初常住人口</t>
    <phoneticPr fontId="2" type="noConversion"/>
  </si>
  <si>
    <t>年初金额（3元/人）</t>
    <phoneticPr fontId="2" type="noConversion"/>
  </si>
  <si>
    <t>实际常住人口</t>
    <phoneticPr fontId="2" type="noConversion"/>
  </si>
  <si>
    <t>实际金额（3元/人）</t>
    <phoneticPr fontId="2" type="noConversion"/>
  </si>
  <si>
    <t>二次分配</t>
    <phoneticPr fontId="2" type="noConversion"/>
  </si>
  <si>
    <t>所属镇</t>
  </si>
  <si>
    <t>深化民办义务教育规范项目</t>
  </si>
  <si>
    <t>农民工子女学校经费</t>
  </si>
  <si>
    <t>民办学校生均经费</t>
  </si>
  <si>
    <t>民办高中学费补贴</t>
  </si>
  <si>
    <t>义务教育学生助学</t>
  </si>
  <si>
    <t>义务教育阶段学生簿册</t>
  </si>
  <si>
    <t>民办幼儿园大班免费教育</t>
  </si>
  <si>
    <t>普惠性民办幼儿园补贴</t>
  </si>
  <si>
    <t>普惠性民办幼儿园维修补贴</t>
  </si>
  <si>
    <t>普惠性民办幼儿园成本审计</t>
  </si>
  <si>
    <t>学前教育困难家庭补助</t>
  </si>
  <si>
    <t>校区保安服务</t>
  </si>
  <si>
    <t>空置校舍看管服务</t>
  </si>
  <si>
    <t>购买辅助服务</t>
  </si>
  <si>
    <t>储备教师</t>
  </si>
  <si>
    <t>全年合计</t>
  </si>
  <si>
    <t>实际统筹分配数</t>
  </si>
  <si>
    <t>附加（1.深化民办义务教育规范项目+7.民办幼儿园大班免费教育+8.普惠性民办幼儿园补贴）</t>
  </si>
  <si>
    <t>提前告知数</t>
  </si>
  <si>
    <t>差额</t>
  </si>
  <si>
    <t>吴泾镇</t>
  </si>
  <si>
    <t>第四季度需支付数据</t>
  </si>
  <si>
    <t>第一至三季度已支付数据</t>
  </si>
  <si>
    <t>单位：元</t>
    <phoneticPr fontId="2" type="noConversion"/>
  </si>
  <si>
    <t>上划改上解项目2026年各镇清算表</t>
    <phoneticPr fontId="2" type="noConversion"/>
  </si>
  <si>
    <t>上划改上解项目2026年各镇清算明细表</t>
    <phoneticPr fontId="2" type="noConversion"/>
  </si>
  <si>
    <t>2026年教育统筹经费第二次分配明细表</t>
    <phoneticPr fontId="2" type="noConversion"/>
  </si>
  <si>
    <t>项目</t>
  </si>
  <si>
    <t>社区教育经费</t>
  </si>
  <si>
    <t>残疾就业保障</t>
  </si>
  <si>
    <t>校舍维修</t>
    <phoneticPr fontId="2" type="noConversion"/>
  </si>
  <si>
    <t>上划改上解项目</t>
    <phoneticPr fontId="2" type="noConversion"/>
  </si>
  <si>
    <t>吴泾镇：</t>
    <phoneticPr fontId="2" type="noConversion"/>
  </si>
</sst>
</file>

<file path=xl/styles.xml><?xml version="1.0" encoding="utf-8"?>
<styleSheet xmlns="http://schemas.openxmlformats.org/spreadsheetml/2006/main">
  <numFmts count="8">
    <numFmt numFmtId="43" formatCode="_ * #,##0.00_ ;_ * \-#,##0.00_ ;_ * &quot;-&quot;??_ ;_ @_ "/>
    <numFmt numFmtId="176" formatCode="0.00_ ;\-0.00;;"/>
    <numFmt numFmtId="177" formatCode="0.00_);[Red]\(0.00\)"/>
    <numFmt numFmtId="178" formatCode="0.00_ "/>
    <numFmt numFmtId="179" formatCode="0_ "/>
    <numFmt numFmtId="180" formatCode="0_);[Red]\(0\)"/>
    <numFmt numFmtId="181" formatCode="#,##0.00_ "/>
    <numFmt numFmtId="182" formatCode="[$-F800]dddd\,\ mmmm\ dd\,\ yyyy"/>
  </numFmts>
  <fonts count="33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20"/>
      <name val="宋体"/>
      <family val="3"/>
      <charset val="134"/>
    </font>
    <font>
      <sz val="10"/>
      <name val="宋体"/>
      <family val="3"/>
      <charset val="134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name val="Times New Roman"/>
      <family val="1"/>
    </font>
    <font>
      <b/>
      <sz val="9"/>
      <name val="宋体"/>
      <family val="3"/>
      <charset val="134"/>
    </font>
    <font>
      <sz val="11"/>
      <name val="宋体"/>
      <family val="2"/>
      <charset val="134"/>
      <scheme val="minor"/>
    </font>
    <font>
      <sz val="2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indexed="8"/>
      <name val="宋体"/>
      <family val="3"/>
      <charset val="134"/>
    </font>
    <font>
      <sz val="20"/>
      <color theme="1"/>
      <name val="华文中宋"/>
      <family val="3"/>
      <charset val="134"/>
    </font>
    <font>
      <sz val="11"/>
      <color theme="1"/>
      <name val="宋体"/>
      <family val="3"/>
      <charset val="134"/>
    </font>
    <font>
      <u/>
      <sz val="14.4"/>
      <color indexed="12"/>
      <name val="宋体"/>
      <family val="3"/>
      <charset val="134"/>
    </font>
    <font>
      <b/>
      <sz val="12"/>
      <name val="宋体"/>
      <family val="3"/>
      <charset val="134"/>
    </font>
    <font>
      <sz val="16"/>
      <color theme="1"/>
      <name val="华文中宋"/>
      <family val="3"/>
      <charset val="134"/>
    </font>
    <font>
      <b/>
      <sz val="16"/>
      <name val="宋体"/>
      <family val="3"/>
      <charset val="134"/>
    </font>
    <font>
      <sz val="18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b/>
      <sz val="16"/>
      <name val="宋体"/>
      <family val="3"/>
      <charset val="134"/>
      <scheme val="major"/>
    </font>
    <font>
      <sz val="14"/>
      <name val="仿宋"/>
      <family val="3"/>
      <charset val="134"/>
    </font>
    <font>
      <sz val="14"/>
      <color theme="1"/>
      <name val="仿宋"/>
      <family val="3"/>
      <charset val="134"/>
    </font>
    <font>
      <sz val="12"/>
      <name val="仿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5" fillId="0" borderId="0"/>
    <xf numFmtId="0" fontId="13" fillId="0" borderId="0">
      <alignment vertical="center"/>
    </xf>
    <xf numFmtId="0" fontId="19" fillId="0" borderId="0" applyNumberFormat="0" applyFill="0" applyBorder="0" applyAlignment="0" applyProtection="0">
      <alignment vertical="top"/>
      <protection locked="0"/>
    </xf>
    <xf numFmtId="0" fontId="25" fillId="0" borderId="0"/>
    <xf numFmtId="0" fontId="25" fillId="0" borderId="0"/>
    <xf numFmtId="0" fontId="25" fillId="0" borderId="0" applyBorder="0"/>
  </cellStyleXfs>
  <cellXfs count="127">
    <xf numFmtId="0" fontId="0" fillId="0" borderId="0" xfId="0">
      <alignment vertical="center"/>
    </xf>
    <xf numFmtId="177" fontId="5" fillId="2" borderId="1" xfId="0" applyNumberFormat="1" applyFont="1" applyFill="1" applyBorder="1" applyAlignment="1" applyProtection="1">
      <protection locked="0"/>
    </xf>
    <xf numFmtId="176" fontId="3" fillId="2" borderId="2" xfId="0" applyNumberFormat="1" applyFont="1" applyFill="1" applyBorder="1" applyAlignment="1" applyProtection="1">
      <protection locked="0"/>
    </xf>
    <xf numFmtId="0" fontId="3" fillId="2" borderId="0" xfId="0" applyFont="1" applyFill="1" applyAlignment="1" applyProtection="1">
      <protection locked="0"/>
    </xf>
    <xf numFmtId="0" fontId="9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NumberFormat="1" applyFont="1" applyFill="1" applyBorder="1" applyAlignment="1" applyProtection="1">
      <alignment horizontal="center"/>
      <protection locked="0"/>
    </xf>
    <xf numFmtId="49" fontId="3" fillId="2" borderId="1" xfId="0" applyNumberFormat="1" applyFont="1" applyFill="1" applyBorder="1" applyAlignment="1" applyProtection="1">
      <protection locked="0"/>
    </xf>
    <xf numFmtId="49" fontId="3" fillId="2" borderId="1" xfId="0" applyNumberFormat="1" applyFont="1" applyFill="1" applyBorder="1" applyAlignment="1" applyProtection="1">
      <alignment wrapText="1"/>
      <protection locked="0"/>
    </xf>
    <xf numFmtId="176" fontId="3" fillId="2" borderId="1" xfId="0" applyNumberFormat="1" applyFont="1" applyFill="1" applyBorder="1" applyAlignment="1" applyProtection="1"/>
    <xf numFmtId="176" fontId="3" fillId="2" borderId="1" xfId="0" applyNumberFormat="1" applyFont="1" applyFill="1" applyBorder="1" applyAlignment="1" applyProtection="1">
      <protection locked="0"/>
    </xf>
    <xf numFmtId="49" fontId="3" fillId="2" borderId="1" xfId="0" applyNumberFormat="1" applyFont="1" applyFill="1" applyBorder="1" applyAlignment="1" applyProtection="1">
      <alignment horizontal="left" wrapText="1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177" fontId="3" fillId="2" borderId="1" xfId="0" applyNumberFormat="1" applyFont="1" applyFill="1" applyBorder="1" applyAlignment="1" applyProtection="1">
      <protection locked="0"/>
    </xf>
    <xf numFmtId="49" fontId="3" fillId="2" borderId="2" xfId="0" applyNumberFormat="1" applyFont="1" applyFill="1" applyBorder="1" applyAlignment="1" applyProtection="1">
      <alignment vertical="center"/>
      <protection locked="0"/>
    </xf>
    <xf numFmtId="0" fontId="3" fillId="2" borderId="2" xfId="0" applyFont="1" applyFill="1" applyBorder="1" applyAlignment="1" applyProtection="1">
      <alignment wrapText="1"/>
      <protection locked="0"/>
    </xf>
    <xf numFmtId="49" fontId="3" fillId="2" borderId="2" xfId="0" applyNumberFormat="1" applyFont="1" applyFill="1" applyBorder="1" applyAlignment="1" applyProtection="1">
      <alignment wrapText="1"/>
      <protection locked="0"/>
    </xf>
    <xf numFmtId="49" fontId="3" fillId="2" borderId="3" xfId="0" applyNumberFormat="1" applyFont="1" applyFill="1" applyBorder="1" applyAlignment="1" applyProtection="1">
      <alignment vertical="center"/>
      <protection locked="0"/>
    </xf>
    <xf numFmtId="0" fontId="3" fillId="2" borderId="3" xfId="0" applyFont="1" applyFill="1" applyBorder="1" applyAlignment="1" applyProtection="1">
      <alignment wrapText="1"/>
      <protection locked="0"/>
    </xf>
    <xf numFmtId="176" fontId="3" fillId="2" borderId="3" xfId="0" applyNumberFormat="1" applyFont="1" applyFill="1" applyBorder="1" applyAlignment="1" applyProtection="1">
      <protection locked="0"/>
    </xf>
    <xf numFmtId="49" fontId="3" fillId="2" borderId="3" xfId="0" applyNumberFormat="1" applyFont="1" applyFill="1" applyBorder="1" applyAlignment="1" applyProtection="1">
      <alignment wrapText="1"/>
      <protection locked="0"/>
    </xf>
    <xf numFmtId="49" fontId="3" fillId="2" borderId="1" xfId="0" applyNumberFormat="1" applyFont="1" applyFill="1" applyBorder="1" applyAlignment="1" applyProtection="1">
      <alignment horizontal="left"/>
      <protection locked="0"/>
    </xf>
    <xf numFmtId="0" fontId="3" fillId="2" borderId="0" xfId="0" applyFont="1" applyFill="1" applyAlignment="1" applyProtection="1">
      <alignment horizontal="center"/>
      <protection locked="0"/>
    </xf>
    <xf numFmtId="0" fontId="3" fillId="2" borderId="0" xfId="0" applyFont="1" applyFill="1" applyAlignment="1" applyProtection="1">
      <alignment wrapText="1"/>
      <protection locked="0"/>
    </xf>
    <xf numFmtId="0" fontId="9" fillId="2" borderId="1" xfId="0" applyFont="1" applyFill="1" applyBorder="1" applyAlignment="1" applyProtection="1">
      <alignment horizontal="center" vertical="center" wrapText="1"/>
      <protection locked="0"/>
    </xf>
    <xf numFmtId="176" fontId="5" fillId="2" borderId="1" xfId="0" applyNumberFormat="1" applyFont="1" applyFill="1" applyBorder="1" applyAlignment="1" applyProtection="1">
      <protection locked="0"/>
    </xf>
    <xf numFmtId="176" fontId="5" fillId="2" borderId="1" xfId="0" applyNumberFormat="1" applyFont="1" applyFill="1" applyBorder="1" applyAlignment="1" applyProtection="1"/>
    <xf numFmtId="176" fontId="5" fillId="2" borderId="2" xfId="0" applyNumberFormat="1" applyFont="1" applyFill="1" applyBorder="1" applyAlignment="1" applyProtection="1">
      <protection locked="0"/>
    </xf>
    <xf numFmtId="176" fontId="5" fillId="2" borderId="3" xfId="0" applyNumberFormat="1" applyFont="1" applyFill="1" applyBorder="1" applyAlignment="1" applyProtection="1">
      <protection locked="0"/>
    </xf>
    <xf numFmtId="178" fontId="3" fillId="2" borderId="1" xfId="0" applyNumberFormat="1" applyFont="1" applyFill="1" applyBorder="1" applyAlignment="1" applyProtection="1"/>
    <xf numFmtId="0" fontId="10" fillId="2" borderId="0" xfId="0" applyFont="1" applyFill="1" applyAlignment="1"/>
    <xf numFmtId="177" fontId="10" fillId="2" borderId="1" xfId="0" applyNumberFormat="1" applyFont="1" applyFill="1" applyBorder="1" applyAlignment="1"/>
    <xf numFmtId="0" fontId="10" fillId="2" borderId="1" xfId="0" applyFont="1" applyFill="1" applyBorder="1" applyAlignment="1"/>
    <xf numFmtId="43" fontId="8" fillId="2" borderId="1" xfId="1" applyNumberFormat="1" applyFont="1" applyFill="1" applyBorder="1" applyAlignment="1" applyProtection="1">
      <alignment horizontal="right" vertical="center" shrinkToFit="1"/>
      <protection locked="0"/>
    </xf>
    <xf numFmtId="177" fontId="10" fillId="2" borderId="0" xfId="0" applyNumberFormat="1" applyFont="1" applyFill="1" applyAlignment="1"/>
    <xf numFmtId="178" fontId="3" fillId="2" borderId="1" xfId="0" applyNumberFormat="1" applyFont="1" applyFill="1" applyBorder="1" applyAlignment="1" applyProtection="1">
      <protection locked="0"/>
    </xf>
    <xf numFmtId="178" fontId="3" fillId="2" borderId="2" xfId="0" applyNumberFormat="1" applyFont="1" applyFill="1" applyBorder="1" applyAlignment="1" applyProtection="1">
      <protection locked="0"/>
    </xf>
    <xf numFmtId="178" fontId="3" fillId="2" borderId="3" xfId="0" applyNumberFormat="1" applyFont="1" applyFill="1" applyBorder="1" applyAlignment="1" applyProtection="1">
      <protection locked="0"/>
    </xf>
    <xf numFmtId="0" fontId="12" fillId="0" borderId="1" xfId="0" applyFont="1" applyFill="1" applyBorder="1" applyAlignment="1">
      <alignment horizontal="center" vertical="center"/>
    </xf>
    <xf numFmtId="0" fontId="13" fillId="0" borderId="0" xfId="0" applyFont="1">
      <alignment vertical="center"/>
    </xf>
    <xf numFmtId="178" fontId="12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1" fillId="0" borderId="0" xfId="0" applyNumberFormat="1" applyFont="1">
      <alignment vertical="center"/>
    </xf>
    <xf numFmtId="0" fontId="14" fillId="0" borderId="0" xfId="0" applyNumberFormat="1" applyFont="1">
      <alignment vertical="center"/>
    </xf>
    <xf numFmtId="0" fontId="12" fillId="2" borderId="1" xfId="0" applyNumberFormat="1" applyFont="1" applyFill="1" applyBorder="1" applyAlignment="1">
      <alignment horizontal="center" vertical="center"/>
    </xf>
    <xf numFmtId="0" fontId="12" fillId="2" borderId="0" xfId="0" applyNumberFormat="1" applyFont="1" applyFill="1" applyAlignment="1">
      <alignment horizontal="center" vertical="center"/>
    </xf>
    <xf numFmtId="178" fontId="12" fillId="2" borderId="1" xfId="0" applyNumberFormat="1" applyFont="1" applyFill="1" applyBorder="1" applyAlignment="1">
      <alignment horizontal="center" vertical="center"/>
    </xf>
    <xf numFmtId="0" fontId="16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3" fillId="0" borderId="0" xfId="0" applyNumberFormat="1" applyFo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8" fillId="0" borderId="1" xfId="4" applyFont="1" applyFill="1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3" fillId="0" borderId="0" xfId="0" applyFont="1" applyFill="1" applyAlignment="1">
      <alignment horizontal="center" vertical="center"/>
    </xf>
    <xf numFmtId="0" fontId="24" fillId="0" borderId="0" xfId="0" applyFont="1" applyFill="1" applyAlignment="1">
      <alignment horizontal="center" vertical="center"/>
    </xf>
    <xf numFmtId="0" fontId="24" fillId="0" borderId="0" xfId="0" applyFont="1" applyFill="1" applyBorder="1" applyAlignment="1">
      <alignment horizontal="center" vertical="center"/>
    </xf>
    <xf numFmtId="180" fontId="15" fillId="0" borderId="1" xfId="5" applyNumberFormat="1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178" fontId="12" fillId="0" borderId="1" xfId="0" applyNumberFormat="1" applyFont="1" applyFill="1" applyBorder="1" applyAlignment="1">
      <alignment horizontal="center" vertical="center"/>
    </xf>
    <xf numFmtId="0" fontId="15" fillId="0" borderId="1" xfId="6" applyFont="1" applyFill="1" applyBorder="1" applyAlignment="1">
      <alignment horizontal="center" vertical="center" wrapText="1"/>
    </xf>
    <xf numFmtId="0" fontId="15" fillId="0" borderId="1" xfId="5" applyFont="1" applyFill="1" applyBorder="1" applyAlignment="1">
      <alignment horizontal="center" vertical="center" wrapText="1"/>
    </xf>
    <xf numFmtId="0" fontId="15" fillId="0" borderId="1" xfId="7" applyFont="1" applyFill="1" applyBorder="1" applyAlignment="1">
      <alignment horizontal="center" vertical="center" wrapText="1"/>
    </xf>
    <xf numFmtId="178" fontId="12" fillId="0" borderId="1" xfId="0" applyNumberFormat="1" applyFont="1" applyFill="1" applyBorder="1" applyAlignment="1">
      <alignment horizontal="center" vertical="center"/>
    </xf>
    <xf numFmtId="178" fontId="5" fillId="0" borderId="1" xfId="2" applyNumberFormat="1" applyFont="1" applyBorder="1" applyAlignment="1">
      <alignment horizontal="center" vertical="center"/>
    </xf>
    <xf numFmtId="178" fontId="5" fillId="0" borderId="1" xfId="2" applyNumberFormat="1" applyFont="1" applyFill="1" applyBorder="1" applyAlignment="1">
      <alignment horizontal="center" vertical="center"/>
    </xf>
    <xf numFmtId="179" fontId="12" fillId="0" borderId="1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center" vertical="center"/>
    </xf>
    <xf numFmtId="178" fontId="27" fillId="0" borderId="1" xfId="0" applyNumberFormat="1" applyFont="1" applyBorder="1" applyAlignment="1">
      <alignment horizontal="right" vertical="center"/>
    </xf>
    <xf numFmtId="181" fontId="26" fillId="0" borderId="1" xfId="0" applyNumberFormat="1" applyFont="1" applyFill="1" applyBorder="1" applyAlignment="1">
      <alignment horizontal="right" vertical="center"/>
    </xf>
    <xf numFmtId="181" fontId="27" fillId="0" borderId="1" xfId="0" applyNumberFormat="1" applyFont="1" applyBorder="1">
      <alignment vertical="center"/>
    </xf>
    <xf numFmtId="181" fontId="0" fillId="0" borderId="1" xfId="0" applyNumberFormat="1" applyBorder="1" applyAlignment="1">
      <alignment horizontal="right" vertical="center"/>
    </xf>
    <xf numFmtId="178" fontId="27" fillId="0" borderId="6" xfId="0" applyNumberFormat="1" applyFont="1" applyBorder="1" applyAlignment="1">
      <alignment horizontal="right" vertical="center"/>
    </xf>
    <xf numFmtId="178" fontId="27" fillId="0" borderId="1" xfId="0" applyNumberFormat="1" applyFont="1" applyBorder="1">
      <alignment vertical="center"/>
    </xf>
    <xf numFmtId="0" fontId="28" fillId="2" borderId="0" xfId="0" applyFont="1" applyFill="1" applyAlignment="1">
      <alignment horizontal="center" vertical="center"/>
    </xf>
    <xf numFmtId="0" fontId="26" fillId="0" borderId="0" xfId="0" applyFont="1" applyFill="1" applyAlignment="1">
      <alignment horizontal="center" vertical="center"/>
    </xf>
    <xf numFmtId="0" fontId="14" fillId="0" borderId="0" xfId="0" applyFont="1" applyFill="1" applyAlignment="1">
      <alignment horizontal="center" vertical="center"/>
    </xf>
    <xf numFmtId="179" fontId="27" fillId="0" borderId="1" xfId="0" applyNumberFormat="1" applyFont="1" applyBorder="1" applyAlignment="1">
      <alignment horizontal="right" vertical="center"/>
    </xf>
    <xf numFmtId="179" fontId="27" fillId="2" borderId="1" xfId="0" applyNumberFormat="1" applyFont="1" applyFill="1" applyBorder="1" applyAlignment="1">
      <alignment horizontal="right" vertical="center"/>
    </xf>
    <xf numFmtId="0" fontId="0" fillId="0" borderId="0" xfId="0" applyNumberFormat="1">
      <alignment vertical="center"/>
    </xf>
    <xf numFmtId="0" fontId="31" fillId="0" borderId="0" xfId="0" applyNumberFormat="1" applyFont="1" applyBorder="1" applyAlignment="1">
      <alignment horizontal="right" vertical="center"/>
    </xf>
    <xf numFmtId="0" fontId="32" fillId="0" borderId="1" xfId="0" applyNumberFormat="1" applyFont="1" applyBorder="1" applyAlignment="1">
      <alignment horizontal="center" vertical="center"/>
    </xf>
    <xf numFmtId="0" fontId="32" fillId="0" borderId="0" xfId="0" applyNumberFormat="1" applyFont="1" applyBorder="1" applyAlignment="1">
      <alignment horizontal="center" vertical="center"/>
    </xf>
    <xf numFmtId="0" fontId="32" fillId="0" borderId="3" xfId="0" applyNumberFormat="1" applyFont="1" applyBorder="1" applyAlignment="1">
      <alignment horizontal="center" vertical="center"/>
    </xf>
    <xf numFmtId="178" fontId="32" fillId="0" borderId="3" xfId="0" applyNumberFormat="1" applyFont="1" applyBorder="1" applyAlignment="1">
      <alignment horizontal="center" vertical="center"/>
    </xf>
    <xf numFmtId="178" fontId="32" fillId="0" borderId="1" xfId="0" applyNumberFormat="1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20" fillId="2" borderId="5" xfId="0" applyNumberFormat="1" applyFont="1" applyFill="1" applyBorder="1" applyAlignment="1" applyProtection="1">
      <alignment horizontal="right" vertical="center"/>
      <protection locked="0"/>
    </xf>
    <xf numFmtId="0" fontId="4" fillId="2" borderId="0" xfId="0" applyNumberFormat="1" applyFont="1" applyFill="1" applyBorder="1" applyAlignment="1" applyProtection="1">
      <alignment horizontal="center" vertical="center"/>
      <protection locked="0"/>
    </xf>
    <xf numFmtId="0" fontId="9" fillId="2" borderId="4" xfId="0" applyNumberFormat="1" applyFont="1" applyFill="1" applyBorder="1" applyAlignment="1" applyProtection="1">
      <alignment horizontal="center" vertical="center"/>
      <protection locked="0"/>
    </xf>
    <xf numFmtId="0" fontId="9" fillId="2" borderId="3" xfId="0" applyNumberFormat="1" applyFont="1" applyFill="1" applyBorder="1" applyAlignment="1" applyProtection="1">
      <alignment horizontal="center" vertical="center"/>
      <protection locked="0"/>
    </xf>
    <xf numFmtId="0" fontId="17" fillId="0" borderId="0" xfId="0" applyFont="1" applyBorder="1" applyAlignment="1">
      <alignment horizontal="center" vertical="center"/>
    </xf>
    <xf numFmtId="0" fontId="21" fillId="0" borderId="5" xfId="0" applyFont="1" applyBorder="1" applyAlignment="1">
      <alignment horizontal="right" vertical="center"/>
    </xf>
    <xf numFmtId="0" fontId="22" fillId="2" borderId="5" xfId="0" applyNumberFormat="1" applyFont="1" applyFill="1" applyBorder="1" applyAlignment="1" applyProtection="1">
      <alignment horizontal="right" vertical="center"/>
      <protection locked="0"/>
    </xf>
    <xf numFmtId="0" fontId="4" fillId="2" borderId="5" xfId="0" applyFont="1" applyFill="1" applyBorder="1" applyAlignment="1">
      <alignment horizontal="center"/>
    </xf>
    <xf numFmtId="177" fontId="9" fillId="2" borderId="4" xfId="0" applyNumberFormat="1" applyFont="1" applyFill="1" applyBorder="1" applyAlignment="1" applyProtection="1">
      <alignment horizontal="center" vertical="center"/>
      <protection locked="0"/>
    </xf>
    <xf numFmtId="177" fontId="9" fillId="2" borderId="3" xfId="0" applyNumberFormat="1" applyFont="1" applyFill="1" applyBorder="1" applyAlignment="1" applyProtection="1">
      <alignment horizontal="center" vertical="center"/>
      <protection locked="0"/>
    </xf>
    <xf numFmtId="0" fontId="9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9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29" fillId="0" borderId="0" xfId="0" applyNumberFormat="1" applyFont="1" applyBorder="1" applyAlignment="1">
      <alignment horizontal="center" vertical="center"/>
    </xf>
    <xf numFmtId="182" fontId="0" fillId="0" borderId="0" xfId="0" applyNumberFormat="1" applyAlignment="1">
      <alignment vertical="center"/>
    </xf>
    <xf numFmtId="0" fontId="30" fillId="0" borderId="0" xfId="0" applyNumberFormat="1" applyFont="1" applyBorder="1" applyAlignment="1">
      <alignment vertical="center"/>
    </xf>
    <xf numFmtId="182" fontId="0" fillId="0" borderId="0" xfId="0" applyNumberFormat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14" fillId="0" borderId="5" xfId="0" applyFont="1" applyBorder="1" applyAlignment="1">
      <alignment horizontal="right" vertical="center"/>
    </xf>
    <xf numFmtId="0" fontId="13" fillId="0" borderId="5" xfId="0" applyFont="1" applyBorder="1" applyAlignment="1">
      <alignment horizontal="right" vertical="center"/>
    </xf>
    <xf numFmtId="0" fontId="13" fillId="0" borderId="5" xfId="0" applyFont="1" applyBorder="1" applyAlignment="1">
      <alignment vertical="center"/>
    </xf>
    <xf numFmtId="0" fontId="11" fillId="0" borderId="0" xfId="0" applyNumberFormat="1" applyFont="1" applyBorder="1" applyAlignment="1">
      <alignment horizontal="center" vertical="center"/>
    </xf>
    <xf numFmtId="0" fontId="11" fillId="0" borderId="0" xfId="0" applyNumberFormat="1" applyFont="1" applyBorder="1" applyAlignment="1">
      <alignment vertical="center"/>
    </xf>
    <xf numFmtId="0" fontId="11" fillId="0" borderId="0" xfId="0" applyFont="1" applyAlignment="1">
      <alignment vertical="center"/>
    </xf>
    <xf numFmtId="0" fontId="0" fillId="0" borderId="0" xfId="0" applyAlignment="1">
      <alignment vertical="center"/>
    </xf>
    <xf numFmtId="0" fontId="14" fillId="0" borderId="5" xfId="0" applyNumberFormat="1" applyFont="1" applyBorder="1" applyAlignment="1">
      <alignment horizontal="right" vertical="center"/>
    </xf>
    <xf numFmtId="0" fontId="0" fillId="0" borderId="5" xfId="0" applyBorder="1" applyAlignment="1">
      <alignment vertical="center"/>
    </xf>
    <xf numFmtId="0" fontId="11" fillId="0" borderId="0" xfId="0" applyFont="1" applyFill="1" applyAlignment="1">
      <alignment horizontal="center" vertical="center"/>
    </xf>
    <xf numFmtId="0" fontId="15" fillId="0" borderId="1" xfId="7" applyFont="1" applyFill="1" applyBorder="1" applyAlignment="1">
      <alignment horizontal="center" vertical="center" wrapText="1"/>
    </xf>
    <xf numFmtId="178" fontId="12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4" fillId="0" borderId="5" xfId="0" applyFont="1" applyFill="1" applyBorder="1" applyAlignment="1">
      <alignment horizontal="right" vertical="center"/>
    </xf>
    <xf numFmtId="0" fontId="0" fillId="0" borderId="5" xfId="0" applyBorder="1" applyAlignment="1">
      <alignment horizontal="right" vertical="center"/>
    </xf>
  </cellXfs>
  <cellStyles count="8">
    <cellStyle name="百分比" xfId="1" builtinId="5"/>
    <cellStyle name="常规" xfId="0" builtinId="0"/>
    <cellStyle name="常规 111" xfId="2"/>
    <cellStyle name="常规 2" xfId="5"/>
    <cellStyle name="常规 3 4" xfId="3"/>
    <cellStyle name="常规_Sheet1" xfId="7"/>
    <cellStyle name="常规_Sheet1 2" xfId="6"/>
    <cellStyle name="超链接" xfId="4" builtin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0</xdr:row>
      <xdr:rowOff>0</xdr:rowOff>
    </xdr:from>
    <xdr:to>
      <xdr:col>16</xdr:col>
      <xdr:colOff>0</xdr:colOff>
      <xdr:row>0</xdr:row>
      <xdr:rowOff>47625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05600" y="15449550"/>
          <a:ext cx="0" cy="476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723900</xdr:colOff>
      <xdr:row>58</xdr:row>
      <xdr:rowOff>19050</xdr:rowOff>
    </xdr:from>
    <xdr:to>
      <xdr:col>9</xdr:col>
      <xdr:colOff>723900</xdr:colOff>
      <xdr:row>58</xdr:row>
      <xdr:rowOff>66675</xdr:rowOff>
    </xdr:to>
    <xdr:pic>
      <xdr:nvPicPr>
        <xdr:cNvPr id="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91350" y="15201900"/>
          <a:ext cx="0" cy="476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723900</xdr:colOff>
      <xdr:row>58</xdr:row>
      <xdr:rowOff>19050</xdr:rowOff>
    </xdr:from>
    <xdr:to>
      <xdr:col>7</xdr:col>
      <xdr:colOff>723900</xdr:colOff>
      <xdr:row>58</xdr:row>
      <xdr:rowOff>66675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391650" y="10106025"/>
          <a:ext cx="47625" cy="476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723900</xdr:colOff>
      <xdr:row>57</xdr:row>
      <xdr:rowOff>19050</xdr:rowOff>
    </xdr:from>
    <xdr:to>
      <xdr:col>8</xdr:col>
      <xdr:colOff>0</xdr:colOff>
      <xdr:row>57</xdr:row>
      <xdr:rowOff>66675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391650" y="10106025"/>
          <a:ext cx="47625" cy="476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723900</xdr:colOff>
      <xdr:row>57</xdr:row>
      <xdr:rowOff>19050</xdr:rowOff>
    </xdr:from>
    <xdr:to>
      <xdr:col>7</xdr:col>
      <xdr:colOff>723900</xdr:colOff>
      <xdr:row>57</xdr:row>
      <xdr:rowOff>66675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600700" y="15506700"/>
          <a:ext cx="47625" cy="476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723900</xdr:colOff>
      <xdr:row>57</xdr:row>
      <xdr:rowOff>19050</xdr:rowOff>
    </xdr:from>
    <xdr:to>
      <xdr:col>7</xdr:col>
      <xdr:colOff>723900</xdr:colOff>
      <xdr:row>57</xdr:row>
      <xdr:rowOff>66675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391650" y="10106025"/>
          <a:ext cx="47625" cy="476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723900</xdr:colOff>
      <xdr:row>57</xdr:row>
      <xdr:rowOff>19050</xdr:rowOff>
    </xdr:from>
    <xdr:to>
      <xdr:col>7</xdr:col>
      <xdr:colOff>723900</xdr:colOff>
      <xdr:row>57</xdr:row>
      <xdr:rowOff>66675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391650" y="10106025"/>
          <a:ext cx="47625" cy="476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723900</xdr:colOff>
      <xdr:row>57</xdr:row>
      <xdr:rowOff>19050</xdr:rowOff>
    </xdr:from>
    <xdr:to>
      <xdr:col>7</xdr:col>
      <xdr:colOff>723900</xdr:colOff>
      <xdr:row>57</xdr:row>
      <xdr:rowOff>66675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391650" y="10106025"/>
          <a:ext cx="47625" cy="476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723900</xdr:colOff>
      <xdr:row>57</xdr:row>
      <xdr:rowOff>19050</xdr:rowOff>
    </xdr:from>
    <xdr:to>
      <xdr:col>7</xdr:col>
      <xdr:colOff>723900</xdr:colOff>
      <xdr:row>57</xdr:row>
      <xdr:rowOff>66675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391650" y="9725025"/>
          <a:ext cx="47625" cy="476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25910;&#22238;%20(1)\2026\&#24180;&#21021;&#39044;&#31639;\2026&#24180;&#39044;&#31639;&#34920;&#24335;&#39067;&#26725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绩效测算"/>
      <sheetName val="民办小区生补贴"/>
      <sheetName val="民办小区生补贴（街道）"/>
      <sheetName val="民办学校生均经费"/>
      <sheetName val="民办学校生均经费（街道）"/>
      <sheetName val="民办高中学费"/>
      <sheetName val="民办高中学费（街道）"/>
      <sheetName val="2026年基本支出预算表"/>
      <sheetName val="生均公用定额标准"/>
      <sheetName val="其他定额标准"/>
      <sheetName val="2026年中小学人数"/>
      <sheetName val="2026年幼儿园人数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3">
          <cell r="O3">
            <v>4885620</v>
          </cell>
          <cell r="P3">
            <v>244281</v>
          </cell>
        </row>
        <row r="4">
          <cell r="O4">
            <v>4994760</v>
          </cell>
          <cell r="P4">
            <v>249738</v>
          </cell>
        </row>
        <row r="5">
          <cell r="O5">
            <v>3900150</v>
          </cell>
          <cell r="P5">
            <v>195007.5</v>
          </cell>
        </row>
        <row r="6">
          <cell r="O6">
            <v>3415440</v>
          </cell>
          <cell r="P6">
            <v>170772</v>
          </cell>
        </row>
        <row r="7">
          <cell r="O7">
            <v>3049500</v>
          </cell>
          <cell r="P7">
            <v>152475</v>
          </cell>
        </row>
        <row r="8">
          <cell r="O8">
            <v>3957800</v>
          </cell>
          <cell r="P8">
            <v>197890</v>
          </cell>
        </row>
        <row r="9">
          <cell r="O9">
            <v>6826050</v>
          </cell>
          <cell r="P9">
            <v>341302.5</v>
          </cell>
        </row>
        <row r="10">
          <cell r="M10">
            <v>7010750</v>
          </cell>
          <cell r="P10">
            <v>350537.5</v>
          </cell>
        </row>
        <row r="11">
          <cell r="M11">
            <v>3080000</v>
          </cell>
          <cell r="P11">
            <v>154000</v>
          </cell>
        </row>
        <row r="12">
          <cell r="M12">
            <v>2637250</v>
          </cell>
          <cell r="P12">
            <v>131862.5</v>
          </cell>
        </row>
      </sheetData>
      <sheetData sheetId="11">
        <row r="2">
          <cell r="I2">
            <v>669240</v>
          </cell>
          <cell r="J2">
            <v>33462</v>
          </cell>
        </row>
        <row r="3">
          <cell r="I3">
            <v>572000</v>
          </cell>
          <cell r="J3">
            <v>14157</v>
          </cell>
        </row>
        <row r="4">
          <cell r="I4">
            <v>858000</v>
          </cell>
          <cell r="J4">
            <v>35035</v>
          </cell>
        </row>
        <row r="5">
          <cell r="I5">
            <v>1021020</v>
          </cell>
          <cell r="J5">
            <v>51051</v>
          </cell>
        </row>
        <row r="6">
          <cell r="I6">
            <v>715000</v>
          </cell>
          <cell r="J6">
            <v>29029</v>
          </cell>
        </row>
        <row r="7">
          <cell r="I7">
            <v>858000</v>
          </cell>
          <cell r="J7">
            <v>38038</v>
          </cell>
        </row>
        <row r="8">
          <cell r="I8">
            <v>858000</v>
          </cell>
          <cell r="J8">
            <v>35321</v>
          </cell>
        </row>
        <row r="9">
          <cell r="I9">
            <v>1129700</v>
          </cell>
          <cell r="J9">
            <v>56485</v>
          </cell>
        </row>
        <row r="10">
          <cell r="I10">
            <v>572000</v>
          </cell>
          <cell r="J10">
            <v>19019</v>
          </cell>
        </row>
        <row r="11">
          <cell r="I11">
            <v>715000</v>
          </cell>
          <cell r="J11">
            <v>33605</v>
          </cell>
        </row>
        <row r="12">
          <cell r="I12">
            <v>572000</v>
          </cell>
          <cell r="J12">
            <v>15158</v>
          </cell>
        </row>
        <row r="13">
          <cell r="I13">
            <v>858000</v>
          </cell>
          <cell r="J13">
            <v>29315</v>
          </cell>
        </row>
      </sheetData>
      <sheetData sheetId="12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7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4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75"/>
  <sheetViews>
    <sheetView workbookViewId="0">
      <pane xSplit="4" ySplit="4" topLeftCell="E11" activePane="bottomRight" state="frozen"/>
      <selection pane="topRight" activeCell="E1" sqref="E1"/>
      <selection pane="bottomLeft" activeCell="A4" sqref="A4"/>
      <selection pane="bottomRight" activeCell="B66" sqref="B66"/>
    </sheetView>
  </sheetViews>
  <sheetFormatPr defaultRowHeight="11.25"/>
  <cols>
    <col min="1" max="1" width="4.25" style="21" customWidth="1"/>
    <col min="2" max="2" width="28" style="3" customWidth="1"/>
    <col min="3" max="3" width="5.875" style="3" customWidth="1"/>
    <col min="4" max="4" width="9" style="22"/>
    <col min="5" max="5" width="11.375" style="3" bestFit="1" customWidth="1"/>
    <col min="6" max="6" width="10.5" style="3" bestFit="1" customWidth="1"/>
    <col min="7" max="8" width="11.375" style="3" customWidth="1"/>
    <col min="9" max="9" width="12.75" style="3" customWidth="1"/>
    <col min="10" max="10" width="11.375" style="3" bestFit="1" customWidth="1"/>
    <col min="11" max="11" width="12.5" style="3" customWidth="1"/>
    <col min="12" max="12" width="11.75" style="3" customWidth="1"/>
    <col min="13" max="13" width="12.25" style="3" customWidth="1"/>
    <col min="14" max="14" width="13" style="3" customWidth="1"/>
    <col min="15" max="16384" width="9" style="3"/>
  </cols>
  <sheetData>
    <row r="1" spans="1:14" ht="30" customHeight="1">
      <c r="A1" s="92" t="s">
        <v>168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</row>
    <row r="2" spans="1:14" ht="20.100000000000001" customHeight="1">
      <c r="A2" s="91" t="s">
        <v>403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</row>
    <row r="3" spans="1:14">
      <c r="A3" s="93" t="s">
        <v>1</v>
      </c>
      <c r="B3" s="93" t="s">
        <v>2</v>
      </c>
      <c r="C3" s="93" t="s">
        <v>3</v>
      </c>
      <c r="D3" s="93" t="s">
        <v>4</v>
      </c>
      <c r="E3" s="93" t="s">
        <v>378</v>
      </c>
      <c r="F3" s="93" t="s">
        <v>379</v>
      </c>
      <c r="G3" s="93" t="s">
        <v>380</v>
      </c>
      <c r="H3" s="93" t="s">
        <v>383</v>
      </c>
      <c r="I3" s="93" t="s">
        <v>384</v>
      </c>
      <c r="J3" s="93" t="s">
        <v>385</v>
      </c>
      <c r="K3" s="93" t="s">
        <v>386</v>
      </c>
      <c r="L3" s="93" t="s">
        <v>387</v>
      </c>
      <c r="M3" s="93" t="s">
        <v>388</v>
      </c>
      <c r="N3" s="93" t="s">
        <v>16</v>
      </c>
    </row>
    <row r="4" spans="1:14">
      <c r="A4" s="94"/>
      <c r="B4" s="94"/>
      <c r="C4" s="94"/>
      <c r="D4" s="94"/>
      <c r="E4" s="94" t="s">
        <v>165</v>
      </c>
      <c r="F4" s="94" t="s">
        <v>165</v>
      </c>
      <c r="G4" s="94" t="s">
        <v>165</v>
      </c>
      <c r="H4" s="94"/>
      <c r="I4" s="94"/>
      <c r="J4" s="94" t="s">
        <v>381</v>
      </c>
      <c r="K4" s="94"/>
      <c r="L4" s="94"/>
      <c r="M4" s="94" t="s">
        <v>382</v>
      </c>
      <c r="N4" s="94"/>
    </row>
    <row r="5" spans="1:14" ht="20.100000000000001" customHeight="1">
      <c r="A5" s="5" t="s">
        <v>18</v>
      </c>
      <c r="B5" s="6" t="s">
        <v>19</v>
      </c>
      <c r="C5" s="6"/>
      <c r="D5" s="7" t="s">
        <v>20</v>
      </c>
      <c r="E5" s="28">
        <f>莘庄镇!J5</f>
        <v>112435204.08000001</v>
      </c>
      <c r="F5" s="28">
        <f>吴泾镇!I4</f>
        <v>50221453.18</v>
      </c>
      <c r="G5" s="28">
        <f>七宝镇!X4</f>
        <v>774589503.74000025</v>
      </c>
      <c r="H5" s="28">
        <f>浦江镇!X4</f>
        <v>485164959.53000003</v>
      </c>
      <c r="I5" s="28">
        <f>梅陇镇!U4</f>
        <v>391935552.69999999</v>
      </c>
      <c r="J5" s="28">
        <f>马桥镇!Q4</f>
        <v>307699174.71999997</v>
      </c>
      <c r="K5" s="28">
        <f>华漕镇!N4</f>
        <v>262298203.83000001</v>
      </c>
      <c r="L5" s="28">
        <f>颛桥镇!T4</f>
        <v>449100863.98999989</v>
      </c>
      <c r="M5" s="28">
        <f>虹桥镇!P4</f>
        <v>232442917.44999999</v>
      </c>
      <c r="N5" s="28">
        <f t="shared" ref="N5:N68" si="0">SUM(E5:M5)</f>
        <v>3065887833.2199998</v>
      </c>
    </row>
    <row r="6" spans="1:14" ht="20.100000000000001" customHeight="1">
      <c r="A6" s="5" t="s">
        <v>21</v>
      </c>
      <c r="B6" s="6" t="s">
        <v>22</v>
      </c>
      <c r="C6" s="6"/>
      <c r="D6" s="7" t="s">
        <v>20</v>
      </c>
      <c r="E6" s="28">
        <f>莘庄镇!J6</f>
        <v>93611911.75</v>
      </c>
      <c r="F6" s="28">
        <f>吴泾镇!I5</f>
        <v>40575551.32</v>
      </c>
      <c r="G6" s="28">
        <f>七宝镇!X5</f>
        <v>646945313.37999988</v>
      </c>
      <c r="H6" s="28">
        <f>浦江镇!X5</f>
        <v>395773634.38000005</v>
      </c>
      <c r="I6" s="28">
        <f>梅陇镇!U5</f>
        <v>324227708.10999995</v>
      </c>
      <c r="J6" s="28">
        <f>马桥镇!Q5</f>
        <v>256869908.84999999</v>
      </c>
      <c r="K6" s="28">
        <f>华漕镇!N5</f>
        <v>213259054.86000001</v>
      </c>
      <c r="L6" s="28">
        <f>颛桥镇!T5</f>
        <v>372904957.69999999</v>
      </c>
      <c r="M6" s="28">
        <f>虹桥镇!P5</f>
        <v>191594722.17000002</v>
      </c>
      <c r="N6" s="28">
        <f t="shared" si="0"/>
        <v>2535762762.5199995</v>
      </c>
    </row>
    <row r="7" spans="1:14" ht="20.100000000000001" customHeight="1">
      <c r="A7" s="5" t="s">
        <v>23</v>
      </c>
      <c r="B7" s="6" t="s">
        <v>24</v>
      </c>
      <c r="C7" s="6"/>
      <c r="D7" s="7" t="s">
        <v>20</v>
      </c>
      <c r="E7" s="28">
        <f>莘庄镇!J7</f>
        <v>14490278.6</v>
      </c>
      <c r="F7" s="28">
        <f>吴泾镇!I6</f>
        <v>6459624</v>
      </c>
      <c r="G7" s="28">
        <f>七宝镇!X6</f>
        <v>96142152.24000001</v>
      </c>
      <c r="H7" s="28">
        <f>浦江镇!X6</f>
        <v>56281534.399999999</v>
      </c>
      <c r="I7" s="28">
        <f>梅陇镇!U6</f>
        <v>49112800.799999997</v>
      </c>
      <c r="J7" s="28">
        <f>马桥镇!Q6</f>
        <v>37517592</v>
      </c>
      <c r="K7" s="28">
        <f>华漕镇!N6</f>
        <v>34390500</v>
      </c>
      <c r="L7" s="28">
        <f>颛桥镇!T6</f>
        <v>55216968</v>
      </c>
      <c r="M7" s="28">
        <f>虹桥镇!P6</f>
        <v>28888270.170000002</v>
      </c>
      <c r="N7" s="28">
        <f t="shared" si="0"/>
        <v>378499720.21000004</v>
      </c>
    </row>
    <row r="8" spans="1:14" ht="20.100000000000001" customHeight="1">
      <c r="A8" s="5" t="s">
        <v>25</v>
      </c>
      <c r="B8" s="6" t="s">
        <v>26</v>
      </c>
      <c r="C8" s="6" t="s">
        <v>27</v>
      </c>
      <c r="D8" s="7" t="s">
        <v>28</v>
      </c>
      <c r="E8" s="28">
        <f>莘庄镇!J8</f>
        <v>7922796</v>
      </c>
      <c r="F8" s="28">
        <f>吴泾镇!I7</f>
        <v>3445912</v>
      </c>
      <c r="G8" s="28">
        <f>七宝镇!X7</f>
        <v>54675692.399999999</v>
      </c>
      <c r="H8" s="28">
        <f>浦江镇!X7</f>
        <v>34290575.200000003</v>
      </c>
      <c r="I8" s="28">
        <f>梅陇镇!U7</f>
        <v>27378096</v>
      </c>
      <c r="J8" s="28">
        <f>马桥镇!Q7</f>
        <v>21316776</v>
      </c>
      <c r="K8" s="28">
        <f>华漕镇!N7</f>
        <v>18401544</v>
      </c>
      <c r="L8" s="28">
        <f>颛桥镇!T7</f>
        <v>31345008</v>
      </c>
      <c r="M8" s="28">
        <f>虹桥镇!P7</f>
        <v>14995490.17</v>
      </c>
      <c r="N8" s="28">
        <f t="shared" si="0"/>
        <v>213771889.76999998</v>
      </c>
    </row>
    <row r="9" spans="1:14" ht="20.100000000000001" customHeight="1">
      <c r="A9" s="5" t="s">
        <v>29</v>
      </c>
      <c r="B9" s="6" t="s">
        <v>30</v>
      </c>
      <c r="C9" s="6" t="s">
        <v>27</v>
      </c>
      <c r="D9" s="7" t="s">
        <v>28</v>
      </c>
      <c r="E9" s="28">
        <f>莘庄镇!J9</f>
        <v>6567482.5999999996</v>
      </c>
      <c r="F9" s="28">
        <f>吴泾镇!I8</f>
        <v>3013712</v>
      </c>
      <c r="G9" s="28">
        <f>七宝镇!X8</f>
        <v>41466459.839999996</v>
      </c>
      <c r="H9" s="28">
        <f>浦江镇!X8</f>
        <v>21990959.199999999</v>
      </c>
      <c r="I9" s="28">
        <f>梅陇镇!U8</f>
        <v>21734704.800000001</v>
      </c>
      <c r="J9" s="28">
        <f>马桥镇!Q8</f>
        <v>16200816</v>
      </c>
      <c r="K9" s="28">
        <f>华漕镇!N8</f>
        <v>15988956</v>
      </c>
      <c r="L9" s="28">
        <f>颛桥镇!T8</f>
        <v>23871960</v>
      </c>
      <c r="M9" s="28">
        <f>虹桥镇!P8</f>
        <v>13892780</v>
      </c>
      <c r="N9" s="28">
        <f t="shared" si="0"/>
        <v>164727830.44</v>
      </c>
    </row>
    <row r="10" spans="1:14" ht="20.100000000000001" customHeight="1">
      <c r="A10" s="5" t="s">
        <v>31</v>
      </c>
      <c r="B10" s="6" t="s">
        <v>32</v>
      </c>
      <c r="C10" s="6"/>
      <c r="D10" s="7" t="s">
        <v>20</v>
      </c>
      <c r="E10" s="28">
        <f>莘庄镇!J10</f>
        <v>1429584</v>
      </c>
      <c r="F10" s="28">
        <f>吴泾镇!I9</f>
        <v>595488</v>
      </c>
      <c r="G10" s="28">
        <f>七宝镇!X9</f>
        <v>9650532</v>
      </c>
      <c r="H10" s="28">
        <f>浦江镇!X9</f>
        <v>6000796</v>
      </c>
      <c r="I10" s="28">
        <f>梅陇镇!U9</f>
        <v>4962525.5999999996</v>
      </c>
      <c r="J10" s="28">
        <f>马桥镇!Q9</f>
        <v>3857004</v>
      </c>
      <c r="K10" s="28">
        <f>华漕镇!N9</f>
        <v>3224412</v>
      </c>
      <c r="L10" s="28">
        <f>颛桥镇!T9</f>
        <v>5576556</v>
      </c>
      <c r="M10" s="28">
        <f>虹桥镇!P9</f>
        <v>2851614</v>
      </c>
      <c r="N10" s="28">
        <f t="shared" si="0"/>
        <v>38148511.600000001</v>
      </c>
    </row>
    <row r="11" spans="1:14" ht="20.100000000000001" customHeight="1">
      <c r="A11" s="5" t="s">
        <v>33</v>
      </c>
      <c r="B11" s="6" t="s">
        <v>34</v>
      </c>
      <c r="C11" s="6" t="s">
        <v>27</v>
      </c>
      <c r="D11" s="7" t="s">
        <v>28</v>
      </c>
      <c r="E11" s="28">
        <f>莘庄镇!J11</f>
        <v>25104</v>
      </c>
      <c r="F11" s="28">
        <f>吴泾镇!I10</f>
        <v>9408</v>
      </c>
      <c r="G11" s="28">
        <f>七宝镇!X10</f>
        <v>120132</v>
      </c>
      <c r="H11" s="28">
        <f>浦江镇!X10</f>
        <v>87196</v>
      </c>
      <c r="I11" s="28">
        <f>梅陇镇!U10</f>
        <v>83805.600000000006</v>
      </c>
      <c r="J11" s="28">
        <f>马桥镇!Q10</f>
        <v>50124</v>
      </c>
      <c r="K11" s="28">
        <f>华漕镇!N10</f>
        <v>61692</v>
      </c>
      <c r="L11" s="28">
        <f>颛桥镇!T10</f>
        <v>69516</v>
      </c>
      <c r="M11" s="28">
        <f>虹桥镇!P10</f>
        <v>42654</v>
      </c>
      <c r="N11" s="28">
        <f t="shared" si="0"/>
        <v>549631.6</v>
      </c>
    </row>
    <row r="12" spans="1:14" ht="20.100000000000001" customHeight="1">
      <c r="A12" s="5" t="s">
        <v>35</v>
      </c>
      <c r="B12" s="6" t="s">
        <v>36</v>
      </c>
      <c r="C12" s="6"/>
      <c r="D12" s="7" t="s">
        <v>20</v>
      </c>
      <c r="E12" s="28">
        <f>莘庄镇!J12</f>
        <v>1404480</v>
      </c>
      <c r="F12" s="28">
        <f>吴泾镇!I11</f>
        <v>586080</v>
      </c>
      <c r="G12" s="28">
        <f>七宝镇!X11</f>
        <v>9530400</v>
      </c>
      <c r="H12" s="28">
        <f>浦江镇!X11</f>
        <v>5913600</v>
      </c>
      <c r="I12" s="28">
        <f>梅陇镇!U11</f>
        <v>4878720</v>
      </c>
      <c r="J12" s="28">
        <f>马桥镇!Q11</f>
        <v>3806880</v>
      </c>
      <c r="K12" s="28">
        <f>华漕镇!N11</f>
        <v>3162720</v>
      </c>
      <c r="L12" s="28">
        <f>颛桥镇!T11</f>
        <v>5507040</v>
      </c>
      <c r="M12" s="28">
        <f>虹桥镇!P11</f>
        <v>2808960</v>
      </c>
      <c r="N12" s="28">
        <f t="shared" si="0"/>
        <v>37598880</v>
      </c>
    </row>
    <row r="13" spans="1:14" ht="20.100000000000001" customHeight="1">
      <c r="A13" s="5" t="s">
        <v>37</v>
      </c>
      <c r="B13" s="6" t="s">
        <v>188</v>
      </c>
      <c r="C13" s="6" t="s">
        <v>27</v>
      </c>
      <c r="D13" s="7" t="s">
        <v>20</v>
      </c>
      <c r="E13" s="28">
        <f>莘庄镇!J13</f>
        <v>1404480</v>
      </c>
      <c r="F13" s="28">
        <f>吴泾镇!I12</f>
        <v>586080</v>
      </c>
      <c r="G13" s="28">
        <f>七宝镇!X12</f>
        <v>9530400</v>
      </c>
      <c r="H13" s="28">
        <f>浦江镇!X12</f>
        <v>5913600</v>
      </c>
      <c r="I13" s="28">
        <f>梅陇镇!U12</f>
        <v>4878720</v>
      </c>
      <c r="J13" s="28">
        <f>马桥镇!Q12</f>
        <v>3806880</v>
      </c>
      <c r="K13" s="28">
        <f>华漕镇!N12</f>
        <v>3162720</v>
      </c>
      <c r="L13" s="28">
        <f>颛桥镇!T12</f>
        <v>5507040</v>
      </c>
      <c r="M13" s="28">
        <f>虹桥镇!P12</f>
        <v>2808960</v>
      </c>
      <c r="N13" s="28">
        <f t="shared" si="0"/>
        <v>37598880</v>
      </c>
    </row>
    <row r="14" spans="1:14" ht="20.100000000000001" customHeight="1">
      <c r="A14" s="5" t="s">
        <v>38</v>
      </c>
      <c r="B14" s="6" t="s">
        <v>39</v>
      </c>
      <c r="C14" s="6"/>
      <c r="D14" s="7" t="s">
        <v>40</v>
      </c>
      <c r="E14" s="28">
        <f>莘庄镇!J14</f>
        <v>630049.72</v>
      </c>
      <c r="F14" s="28">
        <f>吴泾镇!I13</f>
        <v>282920.52</v>
      </c>
      <c r="G14" s="28">
        <f>七宝镇!X13</f>
        <v>4370161.7600000007</v>
      </c>
      <c r="H14" s="28">
        <f>浦江镇!X13</f>
        <v>2724695.84</v>
      </c>
      <c r="I14" s="28">
        <f>梅陇镇!U13</f>
        <v>2194064.58</v>
      </c>
      <c r="J14" s="28">
        <f>马桥镇!Q13</f>
        <v>1752358.2799999998</v>
      </c>
      <c r="K14" s="28">
        <f>华漕镇!N13</f>
        <v>1457374.3</v>
      </c>
      <c r="L14" s="28">
        <f>颛桥镇!T13</f>
        <v>2517452.56</v>
      </c>
      <c r="M14" s="28">
        <f>虹桥镇!P13</f>
        <v>1333762</v>
      </c>
      <c r="N14" s="28">
        <f t="shared" si="0"/>
        <v>17262839.560000002</v>
      </c>
    </row>
    <row r="15" spans="1:14" ht="20.100000000000001" customHeight="1">
      <c r="A15" s="5" t="s">
        <v>41</v>
      </c>
      <c r="B15" s="6" t="s">
        <v>189</v>
      </c>
      <c r="C15" s="6" t="s">
        <v>27</v>
      </c>
      <c r="D15" s="7" t="s">
        <v>42</v>
      </c>
      <c r="E15" s="28">
        <f>莘庄镇!J15</f>
        <v>315024.86</v>
      </c>
      <c r="F15" s="28">
        <f>吴泾镇!I14</f>
        <v>140541.87</v>
      </c>
      <c r="G15" s="28">
        <f>七宝镇!X14</f>
        <v>2185080.8800000004</v>
      </c>
      <c r="H15" s="28">
        <f>浦江镇!X14</f>
        <v>1362347.92</v>
      </c>
      <c r="I15" s="28">
        <f>梅陇镇!U14</f>
        <v>1097032.29</v>
      </c>
      <c r="J15" s="28">
        <f>马桥镇!Q14</f>
        <v>876179.1399999999</v>
      </c>
      <c r="K15" s="28">
        <f>华漕镇!N14</f>
        <v>728687.15</v>
      </c>
      <c r="L15" s="28">
        <f>颛桥镇!T14</f>
        <v>1258726.28</v>
      </c>
      <c r="M15" s="28">
        <f>虹桥镇!P14</f>
        <v>666881</v>
      </c>
      <c r="N15" s="28">
        <f t="shared" si="0"/>
        <v>8630501.3900000006</v>
      </c>
    </row>
    <row r="16" spans="1:14" ht="20.100000000000001" customHeight="1">
      <c r="A16" s="5" t="s">
        <v>43</v>
      </c>
      <c r="B16" s="6" t="s">
        <v>190</v>
      </c>
      <c r="C16" s="6" t="s">
        <v>27</v>
      </c>
      <c r="D16" s="7" t="s">
        <v>42</v>
      </c>
      <c r="E16" s="28">
        <f>莘庄镇!J16</f>
        <v>315024.86</v>
      </c>
      <c r="F16" s="28">
        <f>吴泾镇!I15</f>
        <v>142378.65</v>
      </c>
      <c r="G16" s="28">
        <f>七宝镇!X15</f>
        <v>2185080.8800000004</v>
      </c>
      <c r="H16" s="28">
        <f>浦江镇!X15</f>
        <v>1362347.92</v>
      </c>
      <c r="I16" s="28">
        <f>梅陇镇!U15</f>
        <v>1097032.29</v>
      </c>
      <c r="J16" s="28">
        <f>马桥镇!Q15</f>
        <v>876179.1399999999</v>
      </c>
      <c r="K16" s="28">
        <f>华漕镇!N15</f>
        <v>728687.15</v>
      </c>
      <c r="L16" s="28">
        <f>颛桥镇!T15</f>
        <v>1258726.28</v>
      </c>
      <c r="M16" s="28">
        <f>虹桥镇!P15</f>
        <v>666881</v>
      </c>
      <c r="N16" s="28">
        <f t="shared" si="0"/>
        <v>8632338.1700000018</v>
      </c>
    </row>
    <row r="17" spans="1:14" ht="20.100000000000001" customHeight="1">
      <c r="A17" s="5" t="s">
        <v>44</v>
      </c>
      <c r="B17" s="6" t="s">
        <v>45</v>
      </c>
      <c r="C17" s="6"/>
      <c r="D17" s="7" t="s">
        <v>20</v>
      </c>
      <c r="E17" s="28">
        <f>莘庄镇!J17</f>
        <v>49339812</v>
      </c>
      <c r="F17" s="28">
        <f>吴泾镇!I16</f>
        <v>20820447</v>
      </c>
      <c r="G17" s="28">
        <f>七宝镇!X16</f>
        <v>344495352</v>
      </c>
      <c r="H17" s="28">
        <f>浦江镇!X16</f>
        <v>210879990.40000001</v>
      </c>
      <c r="I17" s="28">
        <f>梅陇镇!U16</f>
        <v>171419476</v>
      </c>
      <c r="J17" s="28">
        <f>马桥镇!Q16</f>
        <v>136639190</v>
      </c>
      <c r="K17" s="28">
        <f>华漕镇!N16</f>
        <v>110062300</v>
      </c>
      <c r="L17" s="28">
        <f>颛桥镇!T16</f>
        <v>198826068</v>
      </c>
      <c r="M17" s="28">
        <f>虹桥镇!P16</f>
        <v>99835548</v>
      </c>
      <c r="N17" s="28">
        <f t="shared" si="0"/>
        <v>1342318183.4000001</v>
      </c>
    </row>
    <row r="18" spans="1:14" ht="20.100000000000001" customHeight="1">
      <c r="A18" s="5" t="s">
        <v>46</v>
      </c>
      <c r="B18" s="6" t="s">
        <v>47</v>
      </c>
      <c r="C18" s="6" t="s">
        <v>27</v>
      </c>
      <c r="D18" s="7" t="s">
        <v>191</v>
      </c>
      <c r="E18" s="28">
        <f>莘庄镇!J18</f>
        <v>45398400</v>
      </c>
      <c r="F18" s="28">
        <f>吴泾镇!I17</f>
        <v>18856000</v>
      </c>
      <c r="G18" s="28">
        <f>七宝镇!X17</f>
        <v>313356700</v>
      </c>
      <c r="H18" s="28">
        <f>浦江镇!X17</f>
        <v>191509200</v>
      </c>
      <c r="I18" s="28">
        <f>梅陇镇!U17</f>
        <v>154909300</v>
      </c>
      <c r="J18" s="28">
        <f>马桥镇!Q17</f>
        <v>123962900</v>
      </c>
      <c r="K18" s="28">
        <f>华漕镇!N17</f>
        <v>102408300</v>
      </c>
      <c r="L18" s="28">
        <f>颛桥镇!T17</f>
        <v>179618600</v>
      </c>
      <c r="M18" s="28">
        <f>虹桥镇!P17</f>
        <v>90437500</v>
      </c>
      <c r="N18" s="28">
        <f t="shared" si="0"/>
        <v>1220456900</v>
      </c>
    </row>
    <row r="19" spans="1:14" ht="20.100000000000001" customHeight="1">
      <c r="A19" s="5" t="s">
        <v>48</v>
      </c>
      <c r="B19" s="6" t="s">
        <v>49</v>
      </c>
      <c r="C19" s="6" t="s">
        <v>27</v>
      </c>
      <c r="D19" s="7" t="s">
        <v>50</v>
      </c>
      <c r="E19" s="28">
        <f>莘庄镇!J19</f>
        <v>1135412</v>
      </c>
      <c r="F19" s="28">
        <f>吴泾镇!I18</f>
        <v>658447</v>
      </c>
      <c r="G19" s="28">
        <f>七宝镇!X18</f>
        <v>6238652</v>
      </c>
      <c r="H19" s="28">
        <f>浦江镇!X18</f>
        <v>4810790.4000000004</v>
      </c>
      <c r="I19" s="28">
        <f>梅陇镇!U18</f>
        <v>5006176</v>
      </c>
      <c r="J19" s="28">
        <f>马桥镇!Q18</f>
        <v>3220290</v>
      </c>
      <c r="K19" s="28">
        <f>华漕镇!N18</f>
        <v>0</v>
      </c>
      <c r="L19" s="28">
        <f>颛桥镇!T18</f>
        <v>4959468</v>
      </c>
      <c r="M19" s="28">
        <f>虹桥镇!P18</f>
        <v>2646048</v>
      </c>
      <c r="N19" s="28">
        <f t="shared" si="0"/>
        <v>28675283.399999999</v>
      </c>
    </row>
    <row r="20" spans="1:14" ht="20.100000000000001" customHeight="1">
      <c r="A20" s="5" t="s">
        <v>51</v>
      </c>
      <c r="B20" s="6" t="s">
        <v>192</v>
      </c>
      <c r="C20" s="6" t="s">
        <v>27</v>
      </c>
      <c r="D20" s="7" t="s">
        <v>20</v>
      </c>
      <c r="E20" s="28">
        <f>莘庄镇!J20</f>
        <v>1596000</v>
      </c>
      <c r="F20" s="28">
        <f>吴泾镇!I19</f>
        <v>666000</v>
      </c>
      <c r="G20" s="28">
        <f>七宝镇!X19</f>
        <v>10830000</v>
      </c>
      <c r="H20" s="28">
        <f>浦江镇!X19</f>
        <v>6720000</v>
      </c>
      <c r="I20" s="28">
        <f>梅陇镇!U19</f>
        <v>5544000</v>
      </c>
      <c r="J20" s="28">
        <f>马桥镇!Q19</f>
        <v>4326000</v>
      </c>
      <c r="K20" s="28">
        <f>华漕镇!N19</f>
        <v>3594000</v>
      </c>
      <c r="L20" s="28">
        <f>颛桥镇!T19</f>
        <v>6258000</v>
      </c>
      <c r="M20" s="28">
        <f>虹桥镇!P19</f>
        <v>3192000</v>
      </c>
      <c r="N20" s="28">
        <f t="shared" si="0"/>
        <v>42726000</v>
      </c>
    </row>
    <row r="21" spans="1:14" ht="20.100000000000001" customHeight="1">
      <c r="A21" s="5" t="s">
        <v>52</v>
      </c>
      <c r="B21" s="6" t="s">
        <v>193</v>
      </c>
      <c r="C21" s="6" t="s">
        <v>27</v>
      </c>
      <c r="D21" s="7" t="s">
        <v>28</v>
      </c>
      <c r="E21" s="28">
        <f>莘庄镇!J21</f>
        <v>1210000</v>
      </c>
      <c r="F21" s="28">
        <f>吴泾镇!I20</f>
        <v>640000</v>
      </c>
      <c r="G21" s="28">
        <f>七宝镇!X20</f>
        <v>14070000</v>
      </c>
      <c r="H21" s="28">
        <f>浦江镇!X20</f>
        <v>7840000</v>
      </c>
      <c r="I21" s="28">
        <f>梅陇镇!U20</f>
        <v>5960000</v>
      </c>
      <c r="J21" s="28">
        <f>马桥镇!Q20</f>
        <v>5130000</v>
      </c>
      <c r="K21" s="28">
        <f>华漕镇!N20</f>
        <v>4060000</v>
      </c>
      <c r="L21" s="28">
        <f>颛桥镇!T20</f>
        <v>7990000</v>
      </c>
      <c r="M21" s="28">
        <f>虹桥镇!P20</f>
        <v>3560000</v>
      </c>
      <c r="N21" s="28">
        <f t="shared" si="0"/>
        <v>50460000</v>
      </c>
    </row>
    <row r="22" spans="1:14" ht="20.100000000000001" customHeight="1">
      <c r="A22" s="5" t="s">
        <v>53</v>
      </c>
      <c r="B22" s="6" t="s">
        <v>54</v>
      </c>
      <c r="C22" s="6"/>
      <c r="D22" s="7" t="s">
        <v>20</v>
      </c>
      <c r="E22" s="28">
        <f>莘庄镇!J22</f>
        <v>8190646.29</v>
      </c>
      <c r="F22" s="28">
        <f>吴泾镇!I21</f>
        <v>3661027.71</v>
      </c>
      <c r="G22" s="28">
        <f>七宝镇!X21</f>
        <v>56812102.260000005</v>
      </c>
      <c r="H22" s="28">
        <f>浦江镇!X21</f>
        <v>35421046.160000004</v>
      </c>
      <c r="I22" s="28">
        <f>梅陇镇!U21</f>
        <v>28522839.419999998</v>
      </c>
      <c r="J22" s="28">
        <f>马桥镇!Q21</f>
        <v>22780657.710000001</v>
      </c>
      <c r="K22" s="28">
        <f>华漕镇!N21</f>
        <v>18945865.710000001</v>
      </c>
      <c r="L22" s="28">
        <f>颛桥镇!T21</f>
        <v>32726883.420000002</v>
      </c>
      <c r="M22" s="28">
        <f>虹桥镇!P21</f>
        <v>17338906</v>
      </c>
      <c r="N22" s="28">
        <f t="shared" si="0"/>
        <v>224399974.68000001</v>
      </c>
    </row>
    <row r="23" spans="1:14" ht="20.100000000000001" customHeight="1">
      <c r="A23" s="5" t="s">
        <v>55</v>
      </c>
      <c r="B23" s="6" t="s">
        <v>331</v>
      </c>
      <c r="C23" s="6" t="s">
        <v>56</v>
      </c>
      <c r="D23" s="7" t="s">
        <v>20</v>
      </c>
      <c r="E23" s="28">
        <f>莘庄镇!J23</f>
        <v>5670447.4299999997</v>
      </c>
      <c r="F23" s="28">
        <f>吴泾镇!I22</f>
        <v>2562813.9899999998</v>
      </c>
      <c r="G23" s="28">
        <f>七宝镇!X22</f>
        <v>39331455.420000002</v>
      </c>
      <c r="H23" s="28">
        <f>浦江镇!X22</f>
        <v>24522262.719999999</v>
      </c>
      <c r="I23" s="28">
        <f>梅陇镇!U22</f>
        <v>19746581.140000001</v>
      </c>
      <c r="J23" s="28">
        <f>马桥镇!Q22</f>
        <v>15771224.57</v>
      </c>
      <c r="K23" s="28">
        <f>华漕镇!N22</f>
        <v>13116368.57</v>
      </c>
      <c r="L23" s="28">
        <f>颛桥镇!T22</f>
        <v>22657073.140000004</v>
      </c>
      <c r="M23" s="28">
        <f>虹桥镇!P22</f>
        <v>12003858</v>
      </c>
      <c r="N23" s="28">
        <f t="shared" si="0"/>
        <v>155382084.98000002</v>
      </c>
    </row>
    <row r="24" spans="1:14" ht="20.100000000000001" customHeight="1">
      <c r="A24" s="5" t="s">
        <v>57</v>
      </c>
      <c r="B24" s="6" t="s">
        <v>332</v>
      </c>
      <c r="C24" s="6" t="s">
        <v>56</v>
      </c>
      <c r="D24" s="7" t="s">
        <v>42</v>
      </c>
      <c r="E24" s="28">
        <f>莘庄镇!J24</f>
        <v>2520198.86</v>
      </c>
      <c r="F24" s="28">
        <f>吴泾镇!I23</f>
        <v>1098213.72</v>
      </c>
      <c r="G24" s="28">
        <f>七宝镇!X23</f>
        <v>17480646.839999996</v>
      </c>
      <c r="H24" s="28">
        <f>浦江镇!X23</f>
        <v>10898783.440000001</v>
      </c>
      <c r="I24" s="28">
        <f>梅陇镇!U23</f>
        <v>8776258.2799999993</v>
      </c>
      <c r="J24" s="28">
        <f>马桥镇!Q23</f>
        <v>7009433.1399999997</v>
      </c>
      <c r="K24" s="28">
        <f>华漕镇!N23</f>
        <v>5829497.1399999997</v>
      </c>
      <c r="L24" s="28">
        <f>颛桥镇!T23</f>
        <v>10069810.279999997</v>
      </c>
      <c r="M24" s="28">
        <f>虹桥镇!P23</f>
        <v>5335048</v>
      </c>
      <c r="N24" s="28">
        <f t="shared" si="0"/>
        <v>69017889.699999988</v>
      </c>
    </row>
    <row r="25" spans="1:14" ht="20.100000000000001" customHeight="1">
      <c r="A25" s="5" t="s">
        <v>58</v>
      </c>
      <c r="B25" s="6" t="s">
        <v>333</v>
      </c>
      <c r="C25" s="6" t="s">
        <v>56</v>
      </c>
      <c r="D25" s="7" t="s">
        <v>42</v>
      </c>
      <c r="E25" s="28">
        <f>莘庄镇!J25</f>
        <v>1260099.43</v>
      </c>
      <c r="F25" s="28">
        <f>吴泾镇!I24</f>
        <v>549106.86</v>
      </c>
      <c r="G25" s="28">
        <f>七宝镇!X24</f>
        <v>8740323.4199999981</v>
      </c>
      <c r="H25" s="28">
        <f>浦江镇!X24</f>
        <v>5449391.7200000007</v>
      </c>
      <c r="I25" s="28">
        <f>梅陇镇!U24</f>
        <v>4388129.1399999997</v>
      </c>
      <c r="J25" s="28">
        <f>马桥镇!Q24</f>
        <v>3504716.57</v>
      </c>
      <c r="K25" s="28">
        <f>华漕镇!N24</f>
        <v>2914748.57</v>
      </c>
      <c r="L25" s="28">
        <f>颛桥镇!T24</f>
        <v>5034905.1399999987</v>
      </c>
      <c r="M25" s="28">
        <f>虹桥镇!P24</f>
        <v>2667524</v>
      </c>
      <c r="N25" s="28">
        <f t="shared" si="0"/>
        <v>34508944.849999994</v>
      </c>
    </row>
    <row r="26" spans="1:14" ht="20.100000000000001" customHeight="1">
      <c r="A26" s="5" t="s">
        <v>59</v>
      </c>
      <c r="B26" s="6" t="s">
        <v>334</v>
      </c>
      <c r="C26" s="6" t="s">
        <v>56</v>
      </c>
      <c r="D26" s="7" t="s">
        <v>42</v>
      </c>
      <c r="E26" s="28">
        <f>莘庄镇!J26</f>
        <v>1260099.43</v>
      </c>
      <c r="F26" s="28">
        <f>吴泾镇!I25</f>
        <v>549106.86</v>
      </c>
      <c r="G26" s="28">
        <f>七宝镇!X25</f>
        <v>8740323.4199999981</v>
      </c>
      <c r="H26" s="28">
        <f>浦江镇!X25</f>
        <v>5449391.7200000007</v>
      </c>
      <c r="I26" s="28">
        <f>梅陇镇!U25</f>
        <v>4388129.1399999997</v>
      </c>
      <c r="J26" s="28">
        <f>马桥镇!Q25</f>
        <v>3504716.57</v>
      </c>
      <c r="K26" s="28">
        <f>华漕镇!N25</f>
        <v>2914748.57</v>
      </c>
      <c r="L26" s="28">
        <f>颛桥镇!T25</f>
        <v>5034905.1399999987</v>
      </c>
      <c r="M26" s="28">
        <f>虹桥镇!P25</f>
        <v>2667524</v>
      </c>
      <c r="N26" s="28">
        <f t="shared" si="0"/>
        <v>34508944.849999994</v>
      </c>
    </row>
    <row r="27" spans="1:14" ht="20.100000000000001" customHeight="1">
      <c r="A27" s="5" t="s">
        <v>60</v>
      </c>
      <c r="B27" s="6" t="s">
        <v>61</v>
      </c>
      <c r="C27" s="6"/>
      <c r="D27" s="7" t="s">
        <v>20</v>
      </c>
      <c r="E27" s="28">
        <f>莘庄镇!J27</f>
        <v>10080795.43</v>
      </c>
      <c r="F27" s="28">
        <f>吴泾镇!I26</f>
        <v>4556113.4000000004</v>
      </c>
      <c r="G27" s="28">
        <f>七宝镇!X26</f>
        <v>69922587.420000002</v>
      </c>
      <c r="H27" s="28">
        <f>浦江镇!X26</f>
        <v>43595133.719999999</v>
      </c>
      <c r="I27" s="28">
        <f>梅陇镇!U26</f>
        <v>35105033.140000001</v>
      </c>
      <c r="J27" s="28">
        <f>马桥镇!Q26</f>
        <v>28037732.57</v>
      </c>
      <c r="K27" s="28">
        <f>华漕镇!N26</f>
        <v>23317988.57</v>
      </c>
      <c r="L27" s="28">
        <f>颛桥镇!T26</f>
        <v>40279241.140000001</v>
      </c>
      <c r="M27" s="28">
        <f>虹桥镇!P26</f>
        <v>21340192</v>
      </c>
      <c r="N27" s="28">
        <f t="shared" si="0"/>
        <v>276234817.38999999</v>
      </c>
    </row>
    <row r="28" spans="1:14" ht="20.100000000000001" customHeight="1">
      <c r="A28" s="5" t="s">
        <v>62</v>
      </c>
      <c r="B28" s="6" t="s">
        <v>194</v>
      </c>
      <c r="C28" s="6" t="s">
        <v>63</v>
      </c>
      <c r="D28" s="7" t="s">
        <v>42</v>
      </c>
      <c r="E28" s="28">
        <f>莘庄镇!J28</f>
        <v>10080795.43</v>
      </c>
      <c r="F28" s="28">
        <f>吴泾镇!I27</f>
        <v>4556113.4000000004</v>
      </c>
      <c r="G28" s="28">
        <f>七宝镇!X27</f>
        <v>69922587.420000002</v>
      </c>
      <c r="H28" s="28">
        <f>浦江镇!X27</f>
        <v>43595133.719999999</v>
      </c>
      <c r="I28" s="28">
        <f>梅陇镇!U27</f>
        <v>35105033.140000001</v>
      </c>
      <c r="J28" s="28">
        <f>马桥镇!Q27</f>
        <v>28037732.57</v>
      </c>
      <c r="K28" s="28">
        <f>华漕镇!N27</f>
        <v>23317988.57</v>
      </c>
      <c r="L28" s="28">
        <f>颛桥镇!T27</f>
        <v>40279241.140000001</v>
      </c>
      <c r="M28" s="28">
        <f>虹桥镇!P27</f>
        <v>21340192</v>
      </c>
      <c r="N28" s="28">
        <f t="shared" si="0"/>
        <v>276234817.38999999</v>
      </c>
    </row>
    <row r="29" spans="1:14" ht="20.100000000000001" customHeight="1">
      <c r="A29" s="5" t="s">
        <v>64</v>
      </c>
      <c r="B29" s="6" t="s">
        <v>65</v>
      </c>
      <c r="C29" s="6"/>
      <c r="D29" s="7" t="s">
        <v>20</v>
      </c>
      <c r="E29" s="28">
        <f>莘庄镇!J29</f>
        <v>5040397.71</v>
      </c>
      <c r="F29" s="28">
        <f>吴泾镇!I28</f>
        <v>2278056.69</v>
      </c>
      <c r="G29" s="28">
        <f>七宝镇!X28</f>
        <v>34961293.700000003</v>
      </c>
      <c r="H29" s="28">
        <f>浦江镇!X28</f>
        <v>21797566.859999999</v>
      </c>
      <c r="I29" s="28">
        <f>梅陇镇!U28</f>
        <v>17552516.57</v>
      </c>
      <c r="J29" s="28">
        <f>马桥镇!Q28</f>
        <v>14018866.289999999</v>
      </c>
      <c r="K29" s="28">
        <f>华漕镇!N28</f>
        <v>11658994.280000001</v>
      </c>
      <c r="L29" s="28">
        <f>颛桥镇!T28</f>
        <v>20139620.579999998</v>
      </c>
      <c r="M29" s="28">
        <f>虹桥镇!P28</f>
        <v>10670096</v>
      </c>
      <c r="N29" s="28">
        <f t="shared" si="0"/>
        <v>138117408.68000001</v>
      </c>
    </row>
    <row r="30" spans="1:14" ht="20.100000000000001" customHeight="1">
      <c r="A30" s="5" t="s">
        <v>66</v>
      </c>
      <c r="B30" s="6" t="s">
        <v>67</v>
      </c>
      <c r="C30" s="6" t="s">
        <v>68</v>
      </c>
      <c r="D30" s="7" t="s">
        <v>42</v>
      </c>
      <c r="E30" s="28">
        <f>莘庄镇!J30</f>
        <v>5040397.71</v>
      </c>
      <c r="F30" s="28">
        <f>吴泾镇!I29</f>
        <v>2278056.69</v>
      </c>
      <c r="G30" s="28">
        <f>七宝镇!X29</f>
        <v>34961293.700000003</v>
      </c>
      <c r="H30" s="28">
        <f>浦江镇!X29</f>
        <v>21797566.859999999</v>
      </c>
      <c r="I30" s="28">
        <f>梅陇镇!U29</f>
        <v>17552516.57</v>
      </c>
      <c r="J30" s="28">
        <f>马桥镇!Q29</f>
        <v>14018866.289999999</v>
      </c>
      <c r="K30" s="28">
        <f>华漕镇!N29</f>
        <v>11658994.280000001</v>
      </c>
      <c r="L30" s="28">
        <f>颛桥镇!T29</f>
        <v>20139620.579999998</v>
      </c>
      <c r="M30" s="28">
        <f>虹桥镇!P29</f>
        <v>10670096</v>
      </c>
      <c r="N30" s="28">
        <f t="shared" si="0"/>
        <v>138117408.68000001</v>
      </c>
    </row>
    <row r="31" spans="1:14" ht="20.100000000000001" customHeight="1">
      <c r="A31" s="5" t="s">
        <v>69</v>
      </c>
      <c r="B31" s="6" t="s">
        <v>335</v>
      </c>
      <c r="C31" s="6" t="s">
        <v>70</v>
      </c>
      <c r="D31" s="7" t="s">
        <v>28</v>
      </c>
      <c r="E31" s="28">
        <f>莘庄镇!J31</f>
        <v>4410348</v>
      </c>
      <c r="F31" s="28">
        <f>吴泾镇!I30</f>
        <v>1921874</v>
      </c>
      <c r="G31" s="28">
        <f>七宝镇!X30</f>
        <v>30591132</v>
      </c>
      <c r="H31" s="28">
        <f>浦江镇!X30</f>
        <v>19072871</v>
      </c>
      <c r="I31" s="28">
        <f>梅陇镇!U30</f>
        <v>15358452</v>
      </c>
      <c r="J31" s="28">
        <f>马桥镇!Q30</f>
        <v>12266508</v>
      </c>
      <c r="K31" s="28">
        <f>华漕镇!N30</f>
        <v>10201620</v>
      </c>
      <c r="L31" s="28">
        <f>颛桥镇!T30</f>
        <v>17622168</v>
      </c>
      <c r="M31" s="28">
        <f>虹桥镇!P30</f>
        <v>9336334</v>
      </c>
      <c r="N31" s="28">
        <f t="shared" si="0"/>
        <v>120781307</v>
      </c>
    </row>
    <row r="32" spans="1:14" ht="20.100000000000001" customHeight="1">
      <c r="A32" s="5" t="s">
        <v>71</v>
      </c>
      <c r="B32" s="6" t="s">
        <v>195</v>
      </c>
      <c r="C32" s="6" t="s">
        <v>27</v>
      </c>
      <c r="D32" s="7" t="s">
        <v>196</v>
      </c>
      <c r="E32" s="28">
        <f>莘庄镇!J32</f>
        <v>0</v>
      </c>
      <c r="F32" s="28">
        <f>吴泾镇!I31</f>
        <v>0</v>
      </c>
      <c r="G32" s="28">
        <f>七宝镇!X31</f>
        <v>0</v>
      </c>
      <c r="H32" s="28">
        <f>浦江镇!X31</f>
        <v>0</v>
      </c>
      <c r="I32" s="28">
        <f>梅陇镇!U31</f>
        <v>0</v>
      </c>
      <c r="J32" s="28">
        <f>马桥镇!Q31</f>
        <v>0</v>
      </c>
      <c r="K32" s="28">
        <f>华漕镇!N31</f>
        <v>0</v>
      </c>
      <c r="L32" s="28">
        <f>颛桥镇!T31</f>
        <v>0</v>
      </c>
      <c r="M32" s="28">
        <f>虹桥镇!P31</f>
        <v>0</v>
      </c>
      <c r="N32" s="28">
        <f t="shared" si="0"/>
        <v>0</v>
      </c>
    </row>
    <row r="33" spans="1:14" ht="20.100000000000001" customHeight="1">
      <c r="A33" s="5" t="s">
        <v>72</v>
      </c>
      <c r="B33" s="6" t="s">
        <v>73</v>
      </c>
      <c r="C33" s="6"/>
      <c r="D33" s="7" t="s">
        <v>20</v>
      </c>
      <c r="E33" s="28">
        <f>莘庄镇!J33</f>
        <v>2190840</v>
      </c>
      <c r="F33" s="28">
        <f>吴泾镇!I32</f>
        <v>1601700</v>
      </c>
      <c r="G33" s="28">
        <f>七宝镇!X32</f>
        <v>11347873.039999999</v>
      </c>
      <c r="H33" s="28">
        <f>浦江镇!X32</f>
        <v>7755110.21</v>
      </c>
      <c r="I33" s="28">
        <f>梅陇镇!U32</f>
        <v>8179320</v>
      </c>
      <c r="J33" s="28">
        <f>马桥镇!Q32</f>
        <v>4412820</v>
      </c>
      <c r="K33" s="28">
        <f>华漕镇!N32</f>
        <v>7863480</v>
      </c>
      <c r="L33" s="28">
        <f>颛桥镇!T32</f>
        <v>6698841</v>
      </c>
      <c r="M33" s="28">
        <f>虹桥镇!P32</f>
        <v>6789640</v>
      </c>
      <c r="N33" s="28">
        <f t="shared" si="0"/>
        <v>56839624.25</v>
      </c>
    </row>
    <row r="34" spans="1:14" ht="20.100000000000001" customHeight="1">
      <c r="A34" s="5" t="s">
        <v>74</v>
      </c>
      <c r="B34" s="6" t="s">
        <v>197</v>
      </c>
      <c r="C34" s="6" t="s">
        <v>75</v>
      </c>
      <c r="D34" s="7" t="s">
        <v>198</v>
      </c>
      <c r="E34" s="28">
        <f>莘庄镇!J34</f>
        <v>2180040</v>
      </c>
      <c r="F34" s="28">
        <f>吴泾镇!I33</f>
        <v>1593780</v>
      </c>
      <c r="G34" s="28">
        <f>七宝镇!X33</f>
        <v>11273123.039999999</v>
      </c>
      <c r="H34" s="28">
        <f>浦江镇!X33</f>
        <v>7721345</v>
      </c>
      <c r="I34" s="28">
        <f>梅陇镇!U33</f>
        <v>8134680</v>
      </c>
      <c r="J34" s="28">
        <f>马桥镇!Q33</f>
        <v>4394100</v>
      </c>
      <c r="K34" s="28">
        <f>华漕镇!N33</f>
        <v>7845120</v>
      </c>
      <c r="L34" s="28">
        <f>颛桥镇!T33</f>
        <v>6662481</v>
      </c>
      <c r="M34" s="28">
        <f>虹桥镇!P33</f>
        <v>6769580</v>
      </c>
      <c r="N34" s="28">
        <f t="shared" si="0"/>
        <v>56574249.039999999</v>
      </c>
    </row>
    <row r="35" spans="1:14" ht="20.100000000000001" customHeight="1">
      <c r="A35" s="5" t="s">
        <v>76</v>
      </c>
      <c r="B35" s="6" t="s">
        <v>199</v>
      </c>
      <c r="C35" s="6" t="s">
        <v>75</v>
      </c>
      <c r="D35" s="7" t="s">
        <v>198</v>
      </c>
      <c r="E35" s="28">
        <f>莘庄镇!J35</f>
        <v>2180040</v>
      </c>
      <c r="F35" s="28">
        <f>吴泾镇!I34</f>
        <v>1593780</v>
      </c>
      <c r="G35" s="28">
        <f>七宝镇!X34</f>
        <v>11273123.039999999</v>
      </c>
      <c r="H35" s="28">
        <f>浦江镇!X34</f>
        <v>7721345</v>
      </c>
      <c r="I35" s="28">
        <f>梅陇镇!U34</f>
        <v>8134680</v>
      </c>
      <c r="J35" s="28">
        <f>马桥镇!Q34</f>
        <v>4394100</v>
      </c>
      <c r="K35" s="28">
        <f>华漕镇!N34</f>
        <v>7845120</v>
      </c>
      <c r="L35" s="28">
        <f>颛桥镇!T34</f>
        <v>6662481</v>
      </c>
      <c r="M35" s="28">
        <f>虹桥镇!P34</f>
        <v>6769580</v>
      </c>
      <c r="N35" s="28">
        <f t="shared" si="0"/>
        <v>56574249.039999999</v>
      </c>
    </row>
    <row r="36" spans="1:14" ht="20.100000000000001" customHeight="1">
      <c r="A36" s="5" t="s">
        <v>77</v>
      </c>
      <c r="B36" s="6" t="s">
        <v>78</v>
      </c>
      <c r="C36" s="6"/>
      <c r="D36" s="7" t="s">
        <v>20</v>
      </c>
      <c r="E36" s="28">
        <f>莘庄镇!J36</f>
        <v>10800</v>
      </c>
      <c r="F36" s="28">
        <f>吴泾镇!I35</f>
        <v>7920</v>
      </c>
      <c r="G36" s="28">
        <f>七宝镇!X35</f>
        <v>74750</v>
      </c>
      <c r="H36" s="28">
        <f>浦江镇!X35</f>
        <v>33765.21</v>
      </c>
      <c r="I36" s="28">
        <f>梅陇镇!U35</f>
        <v>44640</v>
      </c>
      <c r="J36" s="28">
        <f>马桥镇!Q35</f>
        <v>18720</v>
      </c>
      <c r="K36" s="28">
        <f>华漕镇!N35</f>
        <v>18360</v>
      </c>
      <c r="L36" s="28">
        <f>颛桥镇!T35</f>
        <v>36360</v>
      </c>
      <c r="M36" s="28">
        <f>虹桥镇!P35</f>
        <v>20060</v>
      </c>
      <c r="N36" s="28">
        <f t="shared" si="0"/>
        <v>265375.20999999996</v>
      </c>
    </row>
    <row r="37" spans="1:14" ht="20.100000000000001" customHeight="1">
      <c r="A37" s="5" t="s">
        <v>79</v>
      </c>
      <c r="B37" s="6" t="s">
        <v>80</v>
      </c>
      <c r="C37" s="6" t="s">
        <v>27</v>
      </c>
      <c r="D37" s="7" t="s">
        <v>28</v>
      </c>
      <c r="E37" s="28">
        <f>莘庄镇!J37</f>
        <v>10800</v>
      </c>
      <c r="F37" s="28">
        <f>吴泾镇!I36</f>
        <v>7920</v>
      </c>
      <c r="G37" s="28">
        <f>七宝镇!X36</f>
        <v>74750</v>
      </c>
      <c r="H37" s="28">
        <f>浦江镇!X36</f>
        <v>33765.21</v>
      </c>
      <c r="I37" s="28">
        <f>梅陇镇!U36</f>
        <v>44640</v>
      </c>
      <c r="J37" s="28">
        <f>马桥镇!Q36</f>
        <v>18720</v>
      </c>
      <c r="K37" s="28">
        <f>华漕镇!N36</f>
        <v>18360</v>
      </c>
      <c r="L37" s="28">
        <f>颛桥镇!T36</f>
        <v>36360</v>
      </c>
      <c r="M37" s="28">
        <f>虹桥镇!P36</f>
        <v>20060</v>
      </c>
      <c r="N37" s="28">
        <f t="shared" si="0"/>
        <v>265375.20999999996</v>
      </c>
    </row>
    <row r="38" spans="1:14" ht="20.100000000000001" customHeight="1">
      <c r="A38" s="5" t="s">
        <v>81</v>
      </c>
      <c r="B38" s="6" t="s">
        <v>82</v>
      </c>
      <c r="C38" s="6"/>
      <c r="D38" s="7" t="s">
        <v>20</v>
      </c>
      <c r="E38" s="28">
        <f>莘庄镇!J38</f>
        <v>0</v>
      </c>
      <c r="F38" s="28">
        <f>吴泾镇!I37</f>
        <v>0</v>
      </c>
      <c r="G38" s="28">
        <f>七宝镇!X37</f>
        <v>0</v>
      </c>
      <c r="H38" s="28">
        <f>浦江镇!X37</f>
        <v>0</v>
      </c>
      <c r="I38" s="28">
        <f>梅陇镇!U37</f>
        <v>0</v>
      </c>
      <c r="J38" s="28">
        <f>马桥镇!Q37</f>
        <v>0</v>
      </c>
      <c r="K38" s="28">
        <f>华漕镇!N37</f>
        <v>0</v>
      </c>
      <c r="L38" s="28">
        <f>颛桥镇!T37</f>
        <v>0</v>
      </c>
      <c r="M38" s="28">
        <f>虹桥镇!P37</f>
        <v>0</v>
      </c>
      <c r="N38" s="28">
        <f t="shared" si="0"/>
        <v>0</v>
      </c>
    </row>
    <row r="39" spans="1:14" ht="20.100000000000001" customHeight="1">
      <c r="A39" s="5" t="s">
        <v>83</v>
      </c>
      <c r="B39" s="6" t="s">
        <v>200</v>
      </c>
      <c r="C39" s="6" t="s">
        <v>27</v>
      </c>
      <c r="D39" s="7" t="s">
        <v>84</v>
      </c>
      <c r="E39" s="28">
        <f>莘庄镇!J39</f>
        <v>0</v>
      </c>
      <c r="F39" s="28">
        <f>吴泾镇!I38</f>
        <v>0</v>
      </c>
      <c r="G39" s="28">
        <f>七宝镇!X38</f>
        <v>0</v>
      </c>
      <c r="H39" s="28">
        <f>浦江镇!X38</f>
        <v>0</v>
      </c>
      <c r="I39" s="28">
        <f>梅陇镇!U38</f>
        <v>0</v>
      </c>
      <c r="J39" s="28">
        <f>马桥镇!Q38</f>
        <v>0</v>
      </c>
      <c r="K39" s="28">
        <f>华漕镇!N38</f>
        <v>0</v>
      </c>
      <c r="L39" s="28">
        <f>颛桥镇!T38</f>
        <v>0</v>
      </c>
      <c r="M39" s="28">
        <f>虹桥镇!P38</f>
        <v>0</v>
      </c>
      <c r="N39" s="28">
        <f t="shared" si="0"/>
        <v>0</v>
      </c>
    </row>
    <row r="40" spans="1:14" ht="20.100000000000001" customHeight="1">
      <c r="A40" s="5" t="s">
        <v>85</v>
      </c>
      <c r="B40" s="6" t="s">
        <v>86</v>
      </c>
      <c r="C40" s="6"/>
      <c r="D40" s="7" t="s">
        <v>20</v>
      </c>
      <c r="E40" s="28">
        <f>莘庄镇!J40</f>
        <v>16632452.329999998</v>
      </c>
      <c r="F40" s="28">
        <f>吴泾镇!I39</f>
        <v>8044201.8599999994</v>
      </c>
      <c r="G40" s="28">
        <f>七宝镇!X39</f>
        <v>116296317.32000002</v>
      </c>
      <c r="H40" s="28">
        <f>浦江镇!X39</f>
        <v>81636214.940000013</v>
      </c>
      <c r="I40" s="28">
        <f>梅陇镇!U39</f>
        <v>59528524.589999996</v>
      </c>
      <c r="J40" s="28">
        <f>马桥镇!Q39</f>
        <v>46416445.870000012</v>
      </c>
      <c r="K40" s="28">
        <f>华漕镇!N39</f>
        <v>41175668.969999999</v>
      </c>
      <c r="L40" s="28">
        <f>颛桥镇!T39</f>
        <v>69497065.289999992</v>
      </c>
      <c r="M40" s="28">
        <f>虹桥镇!P39</f>
        <v>34058555.280000001</v>
      </c>
      <c r="N40" s="28">
        <f t="shared" si="0"/>
        <v>473285446.44999993</v>
      </c>
    </row>
    <row r="41" spans="1:14" ht="20.100000000000001" customHeight="1">
      <c r="A41" s="5" t="s">
        <v>87</v>
      </c>
      <c r="B41" s="6" t="s">
        <v>88</v>
      </c>
      <c r="C41" s="6"/>
      <c r="D41" s="7" t="s">
        <v>89</v>
      </c>
      <c r="E41" s="28">
        <f>莘庄镇!J41</f>
        <v>12160700</v>
      </c>
      <c r="F41" s="28">
        <f>吴泾镇!I40</f>
        <v>6036216</v>
      </c>
      <c r="G41" s="28">
        <f>七宝镇!X40</f>
        <v>90540950</v>
      </c>
      <c r="H41" s="28">
        <f>浦江镇!X40</f>
        <v>62521000</v>
      </c>
      <c r="I41" s="28">
        <f>梅陇镇!U40</f>
        <v>44631510</v>
      </c>
      <c r="J41" s="28">
        <f>马桥镇!Q40</f>
        <v>35045710</v>
      </c>
      <c r="K41" s="28">
        <f>华漕镇!N40</f>
        <v>31053220</v>
      </c>
      <c r="L41" s="28">
        <f>颛桥镇!T40</f>
        <v>53267280</v>
      </c>
      <c r="M41" s="28">
        <f>虹桥镇!P40</f>
        <v>24655340</v>
      </c>
      <c r="N41" s="28">
        <f t="shared" si="0"/>
        <v>359911926</v>
      </c>
    </row>
    <row r="42" spans="1:14" ht="20.100000000000001" customHeight="1">
      <c r="A42" s="5" t="s">
        <v>90</v>
      </c>
      <c r="B42" s="6" t="s">
        <v>201</v>
      </c>
      <c r="C42" s="6" t="s">
        <v>27</v>
      </c>
      <c r="D42" s="11" t="s">
        <v>202</v>
      </c>
      <c r="E42" s="28">
        <f>莘庄镇!J42</f>
        <v>525309</v>
      </c>
      <c r="F42" s="28">
        <f>吴泾镇!I41</f>
        <v>271399.5</v>
      </c>
      <c r="G42" s="28">
        <f>七宝镇!X41</f>
        <v>4403495.5</v>
      </c>
      <c r="H42" s="28">
        <f>浦江镇!X41</f>
        <v>3074856</v>
      </c>
      <c r="I42" s="28">
        <f>梅陇镇!U41</f>
        <v>2036695</v>
      </c>
      <c r="J42" s="28">
        <f>马桥镇!Q41</f>
        <v>1720968.5</v>
      </c>
      <c r="K42" s="28">
        <f>华漕镇!N41</f>
        <v>1484021</v>
      </c>
      <c r="L42" s="28">
        <f>颛桥镇!T41</f>
        <v>2583141</v>
      </c>
      <c r="M42" s="28">
        <f>虹桥镇!P41</f>
        <v>1090584</v>
      </c>
      <c r="N42" s="28">
        <f t="shared" si="0"/>
        <v>17190469.5</v>
      </c>
    </row>
    <row r="43" spans="1:14" ht="20.100000000000001" customHeight="1">
      <c r="A43" s="5" t="s">
        <v>91</v>
      </c>
      <c r="B43" s="6" t="s">
        <v>92</v>
      </c>
      <c r="C43" s="6"/>
      <c r="D43" s="7"/>
      <c r="E43" s="28">
        <f>莘庄镇!J43</f>
        <v>106400</v>
      </c>
      <c r="F43" s="28">
        <f>吴泾镇!I42</f>
        <v>44400</v>
      </c>
      <c r="G43" s="28">
        <f>七宝镇!X42</f>
        <v>722000</v>
      </c>
      <c r="H43" s="28">
        <f>浦江镇!X42</f>
        <v>448000</v>
      </c>
      <c r="I43" s="28">
        <f>梅陇镇!U42</f>
        <v>369600</v>
      </c>
      <c r="J43" s="28">
        <f>马桥镇!Q42</f>
        <v>288400</v>
      </c>
      <c r="K43" s="28">
        <f>华漕镇!N42</f>
        <v>239600</v>
      </c>
      <c r="L43" s="28">
        <f>颛桥镇!T42</f>
        <v>417200</v>
      </c>
      <c r="M43" s="28">
        <f>虹桥镇!P42</f>
        <v>212800</v>
      </c>
      <c r="N43" s="28">
        <f t="shared" si="0"/>
        <v>2848400</v>
      </c>
    </row>
    <row r="44" spans="1:14" ht="20.100000000000001" customHeight="1">
      <c r="A44" s="5" t="s">
        <v>93</v>
      </c>
      <c r="B44" s="6" t="s">
        <v>94</v>
      </c>
      <c r="C44" s="6" t="s">
        <v>27</v>
      </c>
      <c r="D44" s="11" t="s">
        <v>95</v>
      </c>
      <c r="E44" s="28">
        <f>莘庄镇!J44</f>
        <v>106400</v>
      </c>
      <c r="F44" s="28">
        <f>吴泾镇!I43</f>
        <v>44400</v>
      </c>
      <c r="G44" s="28">
        <f>七宝镇!X43</f>
        <v>722000</v>
      </c>
      <c r="H44" s="28">
        <f>浦江镇!X43</f>
        <v>448000</v>
      </c>
      <c r="I44" s="28">
        <f>梅陇镇!U43</f>
        <v>369600</v>
      </c>
      <c r="J44" s="28">
        <f>马桥镇!Q43</f>
        <v>288400</v>
      </c>
      <c r="K44" s="28">
        <f>华漕镇!N43</f>
        <v>239600</v>
      </c>
      <c r="L44" s="28">
        <f>颛桥镇!T43</f>
        <v>417200</v>
      </c>
      <c r="M44" s="28">
        <f>虹桥镇!P43</f>
        <v>212800</v>
      </c>
      <c r="N44" s="28">
        <f t="shared" si="0"/>
        <v>2848400</v>
      </c>
    </row>
    <row r="45" spans="1:14" ht="20.100000000000001" customHeight="1">
      <c r="A45" s="5" t="s">
        <v>96</v>
      </c>
      <c r="B45" s="6" t="s">
        <v>97</v>
      </c>
      <c r="C45" s="6"/>
      <c r="D45" s="7" t="s">
        <v>20</v>
      </c>
      <c r="E45" s="28">
        <f>莘庄镇!J45</f>
        <v>939108.9</v>
      </c>
      <c r="F45" s="28">
        <f>吴泾镇!I44</f>
        <v>327471</v>
      </c>
      <c r="G45" s="28">
        <f>七宝镇!X44</f>
        <v>3763958.6999999997</v>
      </c>
      <c r="H45" s="28">
        <f>浦江镇!X44</f>
        <v>4323328.5</v>
      </c>
      <c r="I45" s="28">
        <f>梅陇镇!U44</f>
        <v>2795699.8499999996</v>
      </c>
      <c r="J45" s="28">
        <f>马桥镇!Q44</f>
        <v>2190618.9</v>
      </c>
      <c r="K45" s="28">
        <f>华漕镇!N44</f>
        <v>1488219.6</v>
      </c>
      <c r="L45" s="28">
        <f>颛桥镇!T44</f>
        <v>3051225.75</v>
      </c>
      <c r="M45" s="28">
        <f>虹桥镇!P44</f>
        <v>1736341.2000000002</v>
      </c>
      <c r="N45" s="28">
        <f t="shared" si="0"/>
        <v>20615972.399999999</v>
      </c>
    </row>
    <row r="46" spans="1:14" ht="20.100000000000001" customHeight="1">
      <c r="A46" s="5" t="s">
        <v>98</v>
      </c>
      <c r="B46" s="6" t="s">
        <v>99</v>
      </c>
      <c r="C46" s="6" t="s">
        <v>27</v>
      </c>
      <c r="D46" s="11" t="s">
        <v>100</v>
      </c>
      <c r="E46" s="28">
        <f>莘庄镇!J46</f>
        <v>939108.9</v>
      </c>
      <c r="F46" s="28">
        <f>吴泾镇!I45</f>
        <v>327471</v>
      </c>
      <c r="G46" s="28">
        <f>七宝镇!X45</f>
        <v>3763958.6999999997</v>
      </c>
      <c r="H46" s="28">
        <f>浦江镇!X45</f>
        <v>4323328.5</v>
      </c>
      <c r="I46" s="28">
        <f>梅陇镇!U45</f>
        <v>2795699.8499999996</v>
      </c>
      <c r="J46" s="28">
        <f>马桥镇!Q45</f>
        <v>2190618.9</v>
      </c>
      <c r="K46" s="28">
        <f>华漕镇!N45</f>
        <v>1488219.6</v>
      </c>
      <c r="L46" s="28">
        <f>颛桥镇!T45</f>
        <v>3051225.75</v>
      </c>
      <c r="M46" s="28">
        <f>虹桥镇!P45</f>
        <v>1736341.2000000002</v>
      </c>
      <c r="N46" s="28">
        <f t="shared" si="0"/>
        <v>20615972.399999999</v>
      </c>
    </row>
    <row r="47" spans="1:14" ht="20.100000000000001" customHeight="1">
      <c r="A47" s="5" t="s">
        <v>101</v>
      </c>
      <c r="B47" s="6" t="s">
        <v>102</v>
      </c>
      <c r="C47" s="6"/>
      <c r="D47" s="7" t="s">
        <v>20</v>
      </c>
      <c r="E47" s="28">
        <f>莘庄镇!J47</f>
        <v>246424</v>
      </c>
      <c r="F47" s="28">
        <f>吴泾镇!I46</f>
        <v>101168</v>
      </c>
      <c r="G47" s="28">
        <f>七宝镇!X46</f>
        <v>943045.20000000007</v>
      </c>
      <c r="H47" s="28">
        <f>浦江镇!X46</f>
        <v>1330764.7200000002</v>
      </c>
      <c r="I47" s="28">
        <f>梅陇镇!U46</f>
        <v>727845.6</v>
      </c>
      <c r="J47" s="28">
        <f>马桥镇!Q46</f>
        <v>634370.4</v>
      </c>
      <c r="K47" s="28">
        <f>华漕镇!N46</f>
        <v>563260.80000000005</v>
      </c>
      <c r="L47" s="28">
        <f>颛桥镇!T46</f>
        <v>983854.4</v>
      </c>
      <c r="M47" s="28">
        <f>虹桥镇!P46</f>
        <v>363870.07999999996</v>
      </c>
      <c r="N47" s="28">
        <f t="shared" si="0"/>
        <v>5894603.2000000011</v>
      </c>
    </row>
    <row r="48" spans="1:14" ht="20.100000000000001" customHeight="1">
      <c r="A48" s="5" t="s">
        <v>103</v>
      </c>
      <c r="B48" s="6" t="s">
        <v>104</v>
      </c>
      <c r="C48" s="6" t="s">
        <v>27</v>
      </c>
      <c r="D48" s="11" t="s">
        <v>105</v>
      </c>
      <c r="E48" s="28">
        <f>莘庄镇!J48</f>
        <v>246424</v>
      </c>
      <c r="F48" s="28">
        <f>吴泾镇!I47</f>
        <v>101168</v>
      </c>
      <c r="G48" s="28">
        <f>七宝镇!X47</f>
        <v>943045.20000000007</v>
      </c>
      <c r="H48" s="28">
        <f>浦江镇!X47</f>
        <v>1330764.7200000002</v>
      </c>
      <c r="I48" s="28">
        <f>梅陇镇!U47</f>
        <v>727845.6</v>
      </c>
      <c r="J48" s="28">
        <f>马桥镇!Q47</f>
        <v>634370.4</v>
      </c>
      <c r="K48" s="28">
        <f>华漕镇!N47</f>
        <v>563260.80000000005</v>
      </c>
      <c r="L48" s="28">
        <f>颛桥镇!T47</f>
        <v>983854.4</v>
      </c>
      <c r="M48" s="28">
        <f>虹桥镇!P47</f>
        <v>363870.07999999996</v>
      </c>
      <c r="N48" s="28">
        <f t="shared" si="0"/>
        <v>5894603.2000000011</v>
      </c>
    </row>
    <row r="49" spans="1:14" ht="20.100000000000001" customHeight="1">
      <c r="A49" s="5" t="s">
        <v>106</v>
      </c>
      <c r="B49" s="6" t="s">
        <v>203</v>
      </c>
      <c r="C49" s="6"/>
      <c r="D49" s="7" t="s">
        <v>20</v>
      </c>
      <c r="E49" s="28">
        <f>莘庄镇!J49</f>
        <v>1689120</v>
      </c>
      <c r="F49" s="28">
        <f>吴泾镇!I48</f>
        <v>851040</v>
      </c>
      <c r="G49" s="28">
        <f>七宝镇!X48</f>
        <v>10592640</v>
      </c>
      <c r="H49" s="28">
        <f>浦江镇!X48</f>
        <v>6670080</v>
      </c>
      <c r="I49" s="28">
        <f>梅陇镇!U48</f>
        <v>5840640</v>
      </c>
      <c r="J49" s="28">
        <f>马桥镇!Q48</f>
        <v>4186080</v>
      </c>
      <c r="K49" s="28">
        <f>华漕镇!N48</f>
        <v>4410720</v>
      </c>
      <c r="L49" s="28">
        <f>颛桥镇!T48</f>
        <v>6112800</v>
      </c>
      <c r="M49" s="28">
        <f>虹桥镇!P48</f>
        <v>3926880</v>
      </c>
      <c r="N49" s="28">
        <f t="shared" si="0"/>
        <v>44280000</v>
      </c>
    </row>
    <row r="50" spans="1:14" ht="20.100000000000001" customHeight="1">
      <c r="A50" s="5" t="s">
        <v>107</v>
      </c>
      <c r="B50" s="6" t="s">
        <v>204</v>
      </c>
      <c r="C50" s="6" t="s">
        <v>27</v>
      </c>
      <c r="D50" s="11" t="s">
        <v>108</v>
      </c>
      <c r="E50" s="28">
        <f>莘庄镇!J50</f>
        <v>1149120</v>
      </c>
      <c r="F50" s="28">
        <f>吴泾镇!I49</f>
        <v>479520</v>
      </c>
      <c r="G50" s="28">
        <f>七宝镇!X49</f>
        <v>7797600</v>
      </c>
      <c r="H50" s="28">
        <f>浦江镇!X49</f>
        <v>4838400</v>
      </c>
      <c r="I50" s="28">
        <f>梅陇镇!U49</f>
        <v>3991680</v>
      </c>
      <c r="J50" s="28">
        <f>马桥镇!Q49</f>
        <v>3114720</v>
      </c>
      <c r="K50" s="28">
        <f>华漕镇!N49</f>
        <v>2587680</v>
      </c>
      <c r="L50" s="28">
        <f>颛桥镇!T49</f>
        <v>4505760</v>
      </c>
      <c r="M50" s="28">
        <f>虹桥镇!P49</f>
        <v>2298240</v>
      </c>
      <c r="N50" s="28">
        <f t="shared" si="0"/>
        <v>30762720</v>
      </c>
    </row>
    <row r="51" spans="1:14" ht="20.100000000000001" customHeight="1">
      <c r="A51" s="5" t="s">
        <v>109</v>
      </c>
      <c r="B51" s="6" t="s">
        <v>205</v>
      </c>
      <c r="C51" s="6" t="s">
        <v>27</v>
      </c>
      <c r="D51" s="11" t="s">
        <v>206</v>
      </c>
      <c r="E51" s="28">
        <f>莘庄镇!J51</f>
        <v>540000</v>
      </c>
      <c r="F51" s="28">
        <f>吴泾镇!I50</f>
        <v>371520</v>
      </c>
      <c r="G51" s="28">
        <f>七宝镇!X50</f>
        <v>2795040</v>
      </c>
      <c r="H51" s="28">
        <f>浦江镇!X50</f>
        <v>1831680</v>
      </c>
      <c r="I51" s="28">
        <f>梅陇镇!U50</f>
        <v>1848960</v>
      </c>
      <c r="J51" s="28">
        <f>马桥镇!Q50</f>
        <v>1071360</v>
      </c>
      <c r="K51" s="28">
        <f>华漕镇!N50</f>
        <v>1823040</v>
      </c>
      <c r="L51" s="28">
        <f>颛桥镇!T50</f>
        <v>1607040</v>
      </c>
      <c r="M51" s="28">
        <f>虹桥镇!P50</f>
        <v>1628640</v>
      </c>
      <c r="N51" s="28">
        <f t="shared" si="0"/>
        <v>13517280</v>
      </c>
    </row>
    <row r="52" spans="1:14" ht="20.100000000000001" customHeight="1">
      <c r="A52" s="5" t="s">
        <v>110</v>
      </c>
      <c r="B52" s="6" t="s">
        <v>207</v>
      </c>
      <c r="C52" s="6"/>
      <c r="D52" s="7" t="s">
        <v>20</v>
      </c>
      <c r="E52" s="28">
        <f>莘庄镇!J52</f>
        <v>1260099.43</v>
      </c>
      <c r="F52" s="28">
        <f>吴泾镇!I51</f>
        <v>549106.86</v>
      </c>
      <c r="G52" s="28">
        <f>七宝镇!X51</f>
        <v>8740323.4199999981</v>
      </c>
      <c r="H52" s="28">
        <f>浦江镇!X51</f>
        <v>5449391.7200000007</v>
      </c>
      <c r="I52" s="28">
        <f>梅陇镇!U51</f>
        <v>4388129.1399999997</v>
      </c>
      <c r="J52" s="28">
        <f>马桥镇!Q51</f>
        <v>3504716.57</v>
      </c>
      <c r="K52" s="28">
        <f>华漕镇!N51</f>
        <v>2914748.57</v>
      </c>
      <c r="L52" s="28">
        <f>颛桥镇!T51</f>
        <v>5034905.1399999987</v>
      </c>
      <c r="M52" s="28">
        <f>虹桥镇!P51</f>
        <v>2667524</v>
      </c>
      <c r="N52" s="28">
        <f t="shared" si="0"/>
        <v>34508944.849999994</v>
      </c>
    </row>
    <row r="53" spans="1:14" ht="20.100000000000001" customHeight="1">
      <c r="A53" s="5" t="s">
        <v>111</v>
      </c>
      <c r="B53" s="6" t="s">
        <v>112</v>
      </c>
      <c r="C53" s="6" t="s">
        <v>27</v>
      </c>
      <c r="D53" s="7" t="s">
        <v>42</v>
      </c>
      <c r="E53" s="28">
        <f>莘庄镇!J53</f>
        <v>1260099.43</v>
      </c>
      <c r="F53" s="28">
        <f>吴泾镇!I52</f>
        <v>549106.86</v>
      </c>
      <c r="G53" s="28">
        <f>七宝镇!X52</f>
        <v>8740323.4199999981</v>
      </c>
      <c r="H53" s="28">
        <f>浦江镇!X52</f>
        <v>5449391.7200000007</v>
      </c>
      <c r="I53" s="28">
        <f>梅陇镇!U52</f>
        <v>4388129.1399999997</v>
      </c>
      <c r="J53" s="28">
        <f>马桥镇!Q52</f>
        <v>3504716.57</v>
      </c>
      <c r="K53" s="28">
        <f>华漕镇!N52</f>
        <v>2914748.57</v>
      </c>
      <c r="L53" s="28">
        <f>颛桥镇!T52</f>
        <v>5034905.1399999987</v>
      </c>
      <c r="M53" s="28">
        <f>虹桥镇!P52</f>
        <v>2667524</v>
      </c>
      <c r="N53" s="28">
        <f t="shared" si="0"/>
        <v>34508944.849999994</v>
      </c>
    </row>
    <row r="54" spans="1:14" ht="20.100000000000001" customHeight="1">
      <c r="A54" s="5" t="s">
        <v>113</v>
      </c>
      <c r="B54" s="6" t="s">
        <v>208</v>
      </c>
      <c r="C54" s="6"/>
      <c r="D54" s="7" t="s">
        <v>20</v>
      </c>
      <c r="E54" s="28">
        <f>莘庄镇!J54</f>
        <v>64000</v>
      </c>
      <c r="F54" s="28">
        <f>吴泾镇!I53</f>
        <v>32000</v>
      </c>
      <c r="G54" s="28">
        <f>七宝镇!X53</f>
        <v>306000</v>
      </c>
      <c r="H54" s="28">
        <f>浦江镇!X53</f>
        <v>249000</v>
      </c>
      <c r="I54" s="28">
        <f>梅陇镇!U53</f>
        <v>242000</v>
      </c>
      <c r="J54" s="28">
        <f>马桥镇!Q53</f>
        <v>89000</v>
      </c>
      <c r="K54" s="28">
        <f>华漕镇!N53</f>
        <v>121000</v>
      </c>
      <c r="L54" s="28">
        <f>颛桥镇!T53</f>
        <v>274000</v>
      </c>
      <c r="M54" s="28">
        <f>虹桥镇!P53</f>
        <v>210000</v>
      </c>
      <c r="N54" s="28">
        <f t="shared" si="0"/>
        <v>1587000</v>
      </c>
    </row>
    <row r="55" spans="1:14" ht="20.100000000000001" customHeight="1">
      <c r="A55" s="5" t="s">
        <v>114</v>
      </c>
      <c r="B55" s="6" t="s">
        <v>115</v>
      </c>
      <c r="C55" s="6" t="s">
        <v>27</v>
      </c>
      <c r="D55" s="11" t="s">
        <v>209</v>
      </c>
      <c r="E55" s="28">
        <f>莘庄镇!J55</f>
        <v>64000</v>
      </c>
      <c r="F55" s="28">
        <f>吴泾镇!I54</f>
        <v>32000</v>
      </c>
      <c r="G55" s="28">
        <f>七宝镇!X54</f>
        <v>306000</v>
      </c>
      <c r="H55" s="28">
        <f>浦江镇!X54</f>
        <v>249000</v>
      </c>
      <c r="I55" s="28">
        <f>梅陇镇!U54</f>
        <v>242000</v>
      </c>
      <c r="J55" s="28">
        <f>马桥镇!Q54</f>
        <v>89000</v>
      </c>
      <c r="K55" s="28">
        <f>华漕镇!N54</f>
        <v>121000</v>
      </c>
      <c r="L55" s="28">
        <f>颛桥镇!T54</f>
        <v>274000</v>
      </c>
      <c r="M55" s="28">
        <f>虹桥镇!P54</f>
        <v>210000</v>
      </c>
      <c r="N55" s="28">
        <f t="shared" si="0"/>
        <v>1587000</v>
      </c>
    </row>
    <row r="56" spans="1:14" ht="20.100000000000001" customHeight="1">
      <c r="A56" s="5" t="s">
        <v>116</v>
      </c>
      <c r="B56" s="6" t="s">
        <v>210</v>
      </c>
      <c r="C56" s="6"/>
      <c r="D56" s="7" t="s">
        <v>20</v>
      </c>
      <c r="E56" s="28">
        <f>莘庄镇!J56</f>
        <v>60600</v>
      </c>
      <c r="F56" s="28">
        <f>吴泾镇!I55</f>
        <v>38800</v>
      </c>
      <c r="G56" s="28">
        <f>七宝镇!X55</f>
        <v>334400</v>
      </c>
      <c r="H56" s="28">
        <f>浦江镇!X55</f>
        <v>272650</v>
      </c>
      <c r="I56" s="28">
        <f>梅陇镇!U55</f>
        <v>232100</v>
      </c>
      <c r="J56" s="28">
        <f>马桥镇!Q55</f>
        <v>157550</v>
      </c>
      <c r="K56" s="28">
        <f>华漕镇!N55</f>
        <v>192900</v>
      </c>
      <c r="L56" s="28">
        <f>颛桥镇!T55</f>
        <v>148800</v>
      </c>
      <c r="M56" s="28">
        <f>虹桥镇!P55</f>
        <v>179800</v>
      </c>
      <c r="N56" s="28">
        <f t="shared" si="0"/>
        <v>1617600</v>
      </c>
    </row>
    <row r="57" spans="1:14" ht="20.100000000000001" customHeight="1">
      <c r="A57" s="5" t="s">
        <v>117</v>
      </c>
      <c r="B57" s="6" t="s">
        <v>211</v>
      </c>
      <c r="C57" s="6" t="s">
        <v>27</v>
      </c>
      <c r="D57" s="7" t="s">
        <v>20</v>
      </c>
      <c r="E57" s="28">
        <f>莘庄镇!J57</f>
        <v>50000</v>
      </c>
      <c r="F57" s="28">
        <f>吴泾镇!I56</f>
        <v>34400</v>
      </c>
      <c r="G57" s="28">
        <f>七宝镇!X56</f>
        <v>258800</v>
      </c>
      <c r="H57" s="28">
        <f>浦江镇!X56</f>
        <v>169600</v>
      </c>
      <c r="I57" s="28">
        <f>梅陇镇!U56</f>
        <v>171200</v>
      </c>
      <c r="J57" s="28">
        <f>马桥镇!Q56</f>
        <v>99200</v>
      </c>
      <c r="K57" s="28">
        <f>华漕镇!N56</f>
        <v>168800</v>
      </c>
      <c r="L57" s="28">
        <f>颛桥镇!T56</f>
        <v>148800</v>
      </c>
      <c r="M57" s="28">
        <f>虹桥镇!P56</f>
        <v>150800</v>
      </c>
      <c r="N57" s="28">
        <f t="shared" si="0"/>
        <v>1251600</v>
      </c>
    </row>
    <row r="58" spans="1:14" ht="20.100000000000001" customHeight="1">
      <c r="A58" s="5" t="s">
        <v>118</v>
      </c>
      <c r="B58" s="6" t="s">
        <v>119</v>
      </c>
      <c r="C58" s="6" t="s">
        <v>27</v>
      </c>
      <c r="D58" s="11" t="s">
        <v>212</v>
      </c>
      <c r="E58" s="28">
        <f>莘庄镇!J58</f>
        <v>50000</v>
      </c>
      <c r="F58" s="28">
        <f>吴泾镇!I57</f>
        <v>34400</v>
      </c>
      <c r="G58" s="28">
        <f>七宝镇!X57</f>
        <v>258800</v>
      </c>
      <c r="H58" s="28">
        <f>浦江镇!X57</f>
        <v>169600</v>
      </c>
      <c r="I58" s="28">
        <f>梅陇镇!U57</f>
        <v>171200</v>
      </c>
      <c r="J58" s="28">
        <f>马桥镇!Q57</f>
        <v>99200</v>
      </c>
      <c r="K58" s="28">
        <f>华漕镇!N57</f>
        <v>168800</v>
      </c>
      <c r="L58" s="28">
        <f>颛桥镇!T57</f>
        <v>148800</v>
      </c>
      <c r="M58" s="28">
        <f>虹桥镇!P57</f>
        <v>150800</v>
      </c>
      <c r="N58" s="28">
        <f t="shared" si="0"/>
        <v>1251600</v>
      </c>
    </row>
    <row r="59" spans="1:14" ht="20.100000000000001" customHeight="1">
      <c r="A59" s="5" t="s">
        <v>120</v>
      </c>
      <c r="B59" s="6" t="s">
        <v>213</v>
      </c>
      <c r="C59" s="6" t="s">
        <v>27</v>
      </c>
      <c r="D59" s="11" t="s">
        <v>121</v>
      </c>
      <c r="E59" s="28">
        <f>莘庄镇!J59</f>
        <v>10600</v>
      </c>
      <c r="F59" s="28">
        <f>吴泾镇!I58</f>
        <v>4400</v>
      </c>
      <c r="G59" s="28">
        <f>七宝镇!X58</f>
        <v>75600</v>
      </c>
      <c r="H59" s="28">
        <f>浦江镇!X58</f>
        <v>103050</v>
      </c>
      <c r="I59" s="28">
        <f>梅陇镇!U58</f>
        <v>60900</v>
      </c>
      <c r="J59" s="28">
        <f>马桥镇!Q58</f>
        <v>58350</v>
      </c>
      <c r="K59" s="28">
        <f>华漕镇!N58</f>
        <v>24100</v>
      </c>
      <c r="L59" s="28">
        <f>颛桥镇!T58</f>
        <v>0</v>
      </c>
      <c r="M59" s="28">
        <f>虹桥镇!P58</f>
        <v>29000</v>
      </c>
      <c r="N59" s="28">
        <f t="shared" si="0"/>
        <v>366000</v>
      </c>
    </row>
    <row r="60" spans="1:14" ht="20.100000000000001" customHeight="1">
      <c r="A60" s="5" t="s">
        <v>122</v>
      </c>
      <c r="B60" s="6" t="s">
        <v>214</v>
      </c>
      <c r="C60" s="6"/>
      <c r="D60" s="7" t="s">
        <v>20</v>
      </c>
      <c r="E60" s="28">
        <f>莘庄镇!J60</f>
        <v>106000</v>
      </c>
      <c r="F60" s="28">
        <f>吴泾镇!I59</f>
        <v>64000</v>
      </c>
      <c r="G60" s="28">
        <f>七宝镇!X59</f>
        <v>353000</v>
      </c>
      <c r="H60" s="28">
        <f>浦江镇!X59</f>
        <v>372000</v>
      </c>
      <c r="I60" s="28">
        <f>梅陇镇!U59</f>
        <v>301000</v>
      </c>
      <c r="J60" s="28">
        <f>马桥镇!Q59</f>
        <v>320000</v>
      </c>
      <c r="K60" s="28">
        <f>华漕镇!N59</f>
        <v>192000</v>
      </c>
      <c r="L60" s="28">
        <f>颛桥镇!T59</f>
        <v>207000</v>
      </c>
      <c r="M60" s="28">
        <f>虹桥镇!P59</f>
        <v>106000</v>
      </c>
      <c r="N60" s="28">
        <f t="shared" si="0"/>
        <v>2021000</v>
      </c>
    </row>
    <row r="61" spans="1:14" ht="20.100000000000001" customHeight="1" thickBot="1">
      <c r="A61" s="5" t="s">
        <v>123</v>
      </c>
      <c r="B61" s="13" t="s">
        <v>124</v>
      </c>
      <c r="C61" s="6" t="s">
        <v>27</v>
      </c>
      <c r="D61" s="14" t="s">
        <v>215</v>
      </c>
      <c r="E61" s="28">
        <f>莘庄镇!J61</f>
        <v>106000</v>
      </c>
      <c r="F61" s="28">
        <f>吴泾镇!I60</f>
        <v>64000</v>
      </c>
      <c r="G61" s="28">
        <f>七宝镇!X60</f>
        <v>353000</v>
      </c>
      <c r="H61" s="28">
        <f>浦江镇!X60</f>
        <v>372000</v>
      </c>
      <c r="I61" s="28">
        <f>梅陇镇!U60</f>
        <v>301000</v>
      </c>
      <c r="J61" s="28">
        <f>马桥镇!Q60</f>
        <v>320000</v>
      </c>
      <c r="K61" s="28">
        <f>华漕镇!N60</f>
        <v>192000</v>
      </c>
      <c r="L61" s="28">
        <f>颛桥镇!T60</f>
        <v>207000</v>
      </c>
      <c r="M61" s="28">
        <f>虹桥镇!P60</f>
        <v>106000</v>
      </c>
      <c r="N61" s="28">
        <f t="shared" si="0"/>
        <v>2021000</v>
      </c>
    </row>
    <row r="62" spans="1:14" ht="20.100000000000001" customHeight="1" thickTop="1">
      <c r="A62" s="5" t="s">
        <v>125</v>
      </c>
      <c r="B62" s="16" t="s">
        <v>126</v>
      </c>
      <c r="C62" s="16"/>
      <c r="D62" s="17"/>
      <c r="E62" s="28">
        <f>莘庄镇!J62</f>
        <v>0</v>
      </c>
      <c r="F62" s="28">
        <f>吴泾镇!I61</f>
        <v>0</v>
      </c>
      <c r="G62" s="28">
        <f>七宝镇!X61</f>
        <v>0</v>
      </c>
      <c r="H62" s="28">
        <f>浦江镇!X61</f>
        <v>0</v>
      </c>
      <c r="I62" s="28">
        <f>梅陇镇!U61</f>
        <v>0</v>
      </c>
      <c r="J62" s="28">
        <f>马桥镇!Q61</f>
        <v>0</v>
      </c>
      <c r="K62" s="28">
        <f>华漕镇!N61</f>
        <v>0</v>
      </c>
      <c r="L62" s="28">
        <f>颛桥镇!T61</f>
        <v>0</v>
      </c>
      <c r="M62" s="28">
        <f>虹桥镇!P61</f>
        <v>0</v>
      </c>
      <c r="N62" s="28">
        <f t="shared" si="0"/>
        <v>0</v>
      </c>
    </row>
    <row r="63" spans="1:14" ht="20.100000000000001" customHeight="1">
      <c r="A63" s="5" t="s">
        <v>127</v>
      </c>
      <c r="B63" s="6" t="s">
        <v>128</v>
      </c>
      <c r="C63" s="6"/>
      <c r="D63" s="7" t="s">
        <v>216</v>
      </c>
      <c r="E63" s="28">
        <f>莘庄镇!J63</f>
        <v>266</v>
      </c>
      <c r="F63" s="28">
        <f>吴泾镇!I62</f>
        <v>111</v>
      </c>
      <c r="G63" s="28">
        <f>七宝镇!X62</f>
        <v>1805</v>
      </c>
      <c r="H63" s="28">
        <f>浦江镇!X62</f>
        <v>1120</v>
      </c>
      <c r="I63" s="28">
        <f>梅陇镇!U62</f>
        <v>924</v>
      </c>
      <c r="J63" s="28">
        <f>马桥镇!Q62</f>
        <v>721</v>
      </c>
      <c r="K63" s="28">
        <f>华漕镇!N62</f>
        <v>599</v>
      </c>
      <c r="L63" s="28">
        <f>颛桥镇!T62</f>
        <v>1043</v>
      </c>
      <c r="M63" s="28">
        <f>虹桥镇!P62</f>
        <v>532</v>
      </c>
      <c r="N63" s="28">
        <f t="shared" si="0"/>
        <v>7121</v>
      </c>
    </row>
    <row r="64" spans="1:14" ht="20.100000000000001" customHeight="1">
      <c r="A64" s="5" t="s">
        <v>129</v>
      </c>
      <c r="B64" s="20" t="s">
        <v>130</v>
      </c>
      <c r="C64" s="20"/>
      <c r="D64" s="7"/>
      <c r="E64" s="28">
        <f>莘庄镇!J64</f>
        <v>61</v>
      </c>
      <c r="F64" s="28">
        <f>吴泾镇!I63</f>
        <v>0</v>
      </c>
      <c r="G64" s="28">
        <f>七宝镇!X63</f>
        <v>641</v>
      </c>
      <c r="H64" s="28">
        <f>浦江镇!X63</f>
        <v>355</v>
      </c>
      <c r="I64" s="28">
        <f>梅陇镇!U63</f>
        <v>292</v>
      </c>
      <c r="J64" s="28">
        <f>马桥镇!Q63</f>
        <v>206</v>
      </c>
      <c r="K64" s="28">
        <f>华漕镇!N63</f>
        <v>190</v>
      </c>
      <c r="L64" s="28">
        <f>颛桥镇!T63</f>
        <v>332</v>
      </c>
      <c r="M64" s="28">
        <f>虹桥镇!P63</f>
        <v>164</v>
      </c>
      <c r="N64" s="28">
        <f t="shared" si="0"/>
        <v>2241</v>
      </c>
    </row>
    <row r="65" spans="1:14" ht="20.100000000000001" customHeight="1">
      <c r="A65" s="5" t="s">
        <v>131</v>
      </c>
      <c r="B65" s="20" t="s">
        <v>132</v>
      </c>
      <c r="C65" s="20"/>
      <c r="D65" s="7"/>
      <c r="E65" s="28">
        <f>莘庄镇!J65</f>
        <v>60</v>
      </c>
      <c r="F65" s="28">
        <f>吴泾镇!I64</f>
        <v>64</v>
      </c>
      <c r="G65" s="28">
        <f>七宝镇!X64</f>
        <v>766</v>
      </c>
      <c r="H65" s="28">
        <f>浦江镇!X64</f>
        <v>429</v>
      </c>
      <c r="I65" s="28">
        <f>梅陇镇!U64</f>
        <v>304</v>
      </c>
      <c r="J65" s="28">
        <f>马桥镇!Q64</f>
        <v>307</v>
      </c>
      <c r="K65" s="28">
        <f>华漕镇!N64</f>
        <v>216</v>
      </c>
      <c r="L65" s="28">
        <f>颛桥镇!T64</f>
        <v>467</v>
      </c>
      <c r="M65" s="28">
        <f>虹桥镇!P64</f>
        <v>192</v>
      </c>
      <c r="N65" s="28">
        <f t="shared" si="0"/>
        <v>2805</v>
      </c>
    </row>
    <row r="66" spans="1:14" ht="20.100000000000001" customHeight="1">
      <c r="A66" s="5" t="s">
        <v>133</v>
      </c>
      <c r="B66" s="20" t="s">
        <v>134</v>
      </c>
      <c r="C66" s="20"/>
      <c r="D66" s="7"/>
      <c r="E66" s="28">
        <f>莘庄镇!J66</f>
        <v>139</v>
      </c>
      <c r="F66" s="28">
        <f>吴泾镇!I65</f>
        <v>45</v>
      </c>
      <c r="G66" s="28">
        <f>七宝镇!X65</f>
        <v>391</v>
      </c>
      <c r="H66" s="28">
        <f>浦江镇!X65</f>
        <v>330</v>
      </c>
      <c r="I66" s="28">
        <f>梅陇镇!U65</f>
        <v>324</v>
      </c>
      <c r="J66" s="28">
        <f>马桥镇!Q65</f>
        <v>198</v>
      </c>
      <c r="K66" s="28">
        <f>华漕镇!N65</f>
        <v>187</v>
      </c>
      <c r="L66" s="28">
        <f>颛桥镇!T65</f>
        <v>239</v>
      </c>
      <c r="M66" s="28">
        <f>虹桥镇!P65</f>
        <v>172</v>
      </c>
      <c r="N66" s="28">
        <f t="shared" si="0"/>
        <v>2025</v>
      </c>
    </row>
    <row r="67" spans="1:14" ht="20.100000000000001" customHeight="1">
      <c r="A67" s="5" t="s">
        <v>135</v>
      </c>
      <c r="B67" s="20" t="s">
        <v>136</v>
      </c>
      <c r="C67" s="20"/>
      <c r="D67" s="7"/>
      <c r="E67" s="28">
        <f>莘庄镇!J67</f>
        <v>6</v>
      </c>
      <c r="F67" s="28">
        <f>吴泾镇!I66</f>
        <v>2</v>
      </c>
      <c r="G67" s="28">
        <f>七宝镇!X66</f>
        <v>7</v>
      </c>
      <c r="H67" s="28">
        <f>浦江镇!X66</f>
        <v>6</v>
      </c>
      <c r="I67" s="28">
        <f>梅陇镇!U66</f>
        <v>4</v>
      </c>
      <c r="J67" s="28">
        <f>马桥镇!Q66</f>
        <v>10</v>
      </c>
      <c r="K67" s="28">
        <f>华漕镇!N66</f>
        <v>6</v>
      </c>
      <c r="L67" s="28">
        <f>颛桥镇!T66</f>
        <v>5</v>
      </c>
      <c r="M67" s="28">
        <f>虹桥镇!P66</f>
        <v>4</v>
      </c>
      <c r="N67" s="28">
        <f t="shared" si="0"/>
        <v>50</v>
      </c>
    </row>
    <row r="68" spans="1:14" ht="20.100000000000001" customHeight="1">
      <c r="A68" s="5" t="s">
        <v>137</v>
      </c>
      <c r="B68" s="6" t="s">
        <v>138</v>
      </c>
      <c r="C68" s="6"/>
      <c r="D68" s="7" t="s">
        <v>217</v>
      </c>
      <c r="E68" s="28">
        <f>莘庄镇!J68</f>
        <v>3159</v>
      </c>
      <c r="F68" s="28">
        <f>吴泾镇!I67</f>
        <v>1709</v>
      </c>
      <c r="G68" s="28">
        <f>七宝镇!X67</f>
        <v>25772</v>
      </c>
      <c r="H68" s="28">
        <f>浦江镇!X67</f>
        <v>18508</v>
      </c>
      <c r="I68" s="28">
        <f>梅陇镇!U67</f>
        <v>12169</v>
      </c>
      <c r="J68" s="28">
        <f>马桥镇!Q67</f>
        <v>10282</v>
      </c>
      <c r="K68" s="28">
        <f>华漕镇!N67</f>
        <v>8859</v>
      </c>
      <c r="L68" s="28">
        <f>颛桥镇!T67</f>
        <v>15321</v>
      </c>
      <c r="M68" s="28">
        <f>虹桥镇!P67</f>
        <v>6467</v>
      </c>
      <c r="N68" s="28">
        <f t="shared" si="0"/>
        <v>102246</v>
      </c>
    </row>
    <row r="69" spans="1:14" ht="20.100000000000001" customHeight="1">
      <c r="A69" s="5" t="s">
        <v>139</v>
      </c>
      <c r="B69" s="20" t="s">
        <v>130</v>
      </c>
      <c r="C69" s="20"/>
      <c r="D69" s="7"/>
      <c r="E69" s="28">
        <f>莘庄镇!J69</f>
        <v>986</v>
      </c>
      <c r="F69" s="28">
        <f>吴泾镇!I68</f>
        <v>0</v>
      </c>
      <c r="G69" s="28">
        <f>七宝镇!X68</f>
        <v>9597</v>
      </c>
      <c r="H69" s="28">
        <f>浦江镇!X68</f>
        <v>5581</v>
      </c>
      <c r="I69" s="28">
        <f>梅陇镇!U68</f>
        <v>4349</v>
      </c>
      <c r="J69" s="28">
        <f>马桥镇!Q68</f>
        <v>3165</v>
      </c>
      <c r="K69" s="28">
        <f>华漕镇!N68</f>
        <v>2902</v>
      </c>
      <c r="L69" s="28">
        <f>颛桥镇!T68</f>
        <v>5194</v>
      </c>
      <c r="M69" s="28">
        <f>虹桥镇!P68</f>
        <v>2229</v>
      </c>
      <c r="N69" s="28">
        <f t="shared" ref="N69:N75" si="1">SUM(E69:M69)</f>
        <v>34003</v>
      </c>
    </row>
    <row r="70" spans="1:14" ht="20.100000000000001" customHeight="1">
      <c r="A70" s="5" t="s">
        <v>140</v>
      </c>
      <c r="B70" s="20" t="s">
        <v>132</v>
      </c>
      <c r="C70" s="20"/>
      <c r="D70" s="7"/>
      <c r="E70" s="28">
        <f>莘庄镇!J70</f>
        <v>770</v>
      </c>
      <c r="F70" s="28">
        <f>吴泾镇!I69</f>
        <v>1195</v>
      </c>
      <c r="G70" s="28">
        <f>七宝镇!X69</f>
        <v>12408</v>
      </c>
      <c r="H70" s="28">
        <f>浦江镇!X69</f>
        <v>8299</v>
      </c>
      <c r="I70" s="28">
        <f>梅陇镇!U69</f>
        <v>4387</v>
      </c>
      <c r="J70" s="28">
        <f>马桥镇!Q69</f>
        <v>4730</v>
      </c>
      <c r="K70" s="28">
        <f>华漕镇!N69</f>
        <v>3818</v>
      </c>
      <c r="L70" s="28">
        <f>颛桥镇!T69</f>
        <v>7402</v>
      </c>
      <c r="M70" s="28">
        <f>虹桥镇!P69</f>
        <v>2813</v>
      </c>
      <c r="N70" s="28">
        <f t="shared" si="1"/>
        <v>45822</v>
      </c>
    </row>
    <row r="71" spans="1:14" ht="20.100000000000001" customHeight="1">
      <c r="A71" s="5" t="s">
        <v>141</v>
      </c>
      <c r="B71" s="20" t="s">
        <v>134</v>
      </c>
      <c r="C71" s="20"/>
      <c r="D71" s="7"/>
      <c r="E71" s="28">
        <f>莘庄镇!J71</f>
        <v>1403</v>
      </c>
      <c r="F71" s="28">
        <f>吴泾镇!I70</f>
        <v>514</v>
      </c>
      <c r="G71" s="28">
        <f>七宝镇!X70</f>
        <v>3767</v>
      </c>
      <c r="H71" s="28">
        <f>浦江镇!X70</f>
        <v>4628</v>
      </c>
      <c r="I71" s="28">
        <f>梅陇镇!U70</f>
        <v>3433</v>
      </c>
      <c r="J71" s="28">
        <f>马桥镇!Q70</f>
        <v>2387</v>
      </c>
      <c r="K71" s="28">
        <f>华漕镇!N70</f>
        <v>2139</v>
      </c>
      <c r="L71" s="28">
        <f>颛桥镇!T70</f>
        <v>2725</v>
      </c>
      <c r="M71" s="28">
        <f>虹桥镇!P70</f>
        <v>1425</v>
      </c>
      <c r="N71" s="28">
        <f t="shared" si="1"/>
        <v>22421</v>
      </c>
    </row>
    <row r="72" spans="1:14" ht="20.100000000000001" customHeight="1">
      <c r="A72" s="5" t="s">
        <v>142</v>
      </c>
      <c r="B72" s="20" t="s">
        <v>136</v>
      </c>
      <c r="C72" s="20"/>
      <c r="D72" s="7"/>
      <c r="E72" s="28">
        <f>莘庄镇!J72</f>
        <v>0</v>
      </c>
      <c r="F72" s="28">
        <f>吴泾镇!I71</f>
        <v>0</v>
      </c>
      <c r="G72" s="28">
        <f>七宝镇!X71</f>
        <v>0</v>
      </c>
      <c r="H72" s="28">
        <f>浦江镇!X71</f>
        <v>0</v>
      </c>
      <c r="I72" s="28">
        <f>梅陇镇!U71</f>
        <v>0</v>
      </c>
      <c r="J72" s="28">
        <f>马桥镇!Q71</f>
        <v>0</v>
      </c>
      <c r="K72" s="28">
        <f>华漕镇!N71</f>
        <v>0</v>
      </c>
      <c r="L72" s="28">
        <f>颛桥镇!T71</f>
        <v>0</v>
      </c>
      <c r="M72" s="28">
        <f>虹桥镇!P71</f>
        <v>0</v>
      </c>
      <c r="N72" s="28">
        <f t="shared" si="1"/>
        <v>0</v>
      </c>
    </row>
    <row r="73" spans="1:14" ht="20.100000000000001" customHeight="1">
      <c r="A73" s="5" t="s">
        <v>143</v>
      </c>
      <c r="B73" s="6" t="s">
        <v>218</v>
      </c>
      <c r="C73" s="6"/>
      <c r="D73" s="7"/>
      <c r="E73" s="28">
        <f>莘庄镇!J73</f>
        <v>125</v>
      </c>
      <c r="F73" s="28">
        <f>吴泾镇!I72</f>
        <v>86</v>
      </c>
      <c r="G73" s="28">
        <f>七宝镇!X72</f>
        <v>647</v>
      </c>
      <c r="H73" s="28">
        <f>浦江镇!X72</f>
        <v>424</v>
      </c>
      <c r="I73" s="28">
        <f>梅陇镇!U72</f>
        <v>428</v>
      </c>
      <c r="J73" s="28">
        <f>马桥镇!Q72</f>
        <v>248</v>
      </c>
      <c r="K73" s="28">
        <f>华漕镇!N72</f>
        <v>422</v>
      </c>
      <c r="L73" s="28">
        <f>颛桥镇!T72</f>
        <v>372</v>
      </c>
      <c r="M73" s="28">
        <f>虹桥镇!P72</f>
        <v>377</v>
      </c>
      <c r="N73" s="28">
        <f t="shared" si="1"/>
        <v>3129</v>
      </c>
    </row>
    <row r="74" spans="1:14" ht="20.100000000000001" customHeight="1">
      <c r="A74" s="5" t="s">
        <v>144</v>
      </c>
      <c r="B74" s="20" t="s">
        <v>219</v>
      </c>
      <c r="C74" s="20"/>
      <c r="D74" s="11"/>
      <c r="E74" s="28">
        <f>莘庄镇!J74</f>
        <v>62607.26</v>
      </c>
      <c r="F74" s="28">
        <f>吴泾镇!I73</f>
        <v>21831.4</v>
      </c>
      <c r="G74" s="28">
        <f>七宝镇!X73</f>
        <v>250930.58000000002</v>
      </c>
      <c r="H74" s="28">
        <f>浦江镇!X73</f>
        <v>288221.89999999997</v>
      </c>
      <c r="I74" s="28">
        <f>梅陇镇!U73</f>
        <v>186379.99</v>
      </c>
      <c r="J74" s="28">
        <f>马桥镇!Q73</f>
        <v>146041.25999999998</v>
      </c>
      <c r="K74" s="28">
        <f>华漕镇!N73</f>
        <v>99214.64</v>
      </c>
      <c r="L74" s="28">
        <f>颛桥镇!T73</f>
        <v>203415.05</v>
      </c>
      <c r="M74" s="28">
        <f>虹桥镇!P73</f>
        <v>115756.08</v>
      </c>
      <c r="N74" s="28">
        <f t="shared" si="1"/>
        <v>1374398.16</v>
      </c>
    </row>
    <row r="75" spans="1:14" ht="20.100000000000001" customHeight="1">
      <c r="A75" s="5" t="s">
        <v>145</v>
      </c>
      <c r="B75" s="20" t="s">
        <v>220</v>
      </c>
      <c r="C75" s="20"/>
      <c r="D75" s="11"/>
      <c r="E75" s="28">
        <f>莘庄镇!J75</f>
        <v>30803</v>
      </c>
      <c r="F75" s="28">
        <f>吴泾镇!I74</f>
        <v>12646</v>
      </c>
      <c r="G75" s="28">
        <f>七宝镇!X74</f>
        <v>117880.65000000001</v>
      </c>
      <c r="H75" s="28">
        <f>浦江镇!X74</f>
        <v>166345.59000000003</v>
      </c>
      <c r="I75" s="28">
        <f>梅陇镇!U74</f>
        <v>90980.7</v>
      </c>
      <c r="J75" s="28">
        <f>马桥镇!Q74</f>
        <v>79296.3</v>
      </c>
      <c r="K75" s="28">
        <f>华漕镇!N74</f>
        <v>70407.600000000006</v>
      </c>
      <c r="L75" s="28">
        <f>颛桥镇!T74</f>
        <v>122981.8</v>
      </c>
      <c r="M75" s="28">
        <f>虹桥镇!P74</f>
        <v>45483.759999999995</v>
      </c>
      <c r="N75" s="28">
        <f t="shared" si="1"/>
        <v>736825.40000000014</v>
      </c>
    </row>
  </sheetData>
  <protectedRanges>
    <protectedRange password="E9C1" sqref="D31 C32 A6:D7 B8:D30 B33:D75 A8:A75 E6:N75 A3:N5" name="区域1_1_3"/>
    <protectedRange password="E9C1" sqref="B31:C31 B32" name="区域1_1_1_1"/>
    <protectedRange password="E9C1" sqref="D32" name="区域1_2_1"/>
  </protectedRanges>
  <mergeCells count="16">
    <mergeCell ref="A2:N2"/>
    <mergeCell ref="A1:N1"/>
    <mergeCell ref="H3:H4"/>
    <mergeCell ref="I3:I4"/>
    <mergeCell ref="K3:K4"/>
    <mergeCell ref="J3:J4"/>
    <mergeCell ref="M3:M4"/>
    <mergeCell ref="N3:N4"/>
    <mergeCell ref="L3:L4"/>
    <mergeCell ref="A3:A4"/>
    <mergeCell ref="B3:B4"/>
    <mergeCell ref="C3:C4"/>
    <mergeCell ref="D3:D4"/>
    <mergeCell ref="E3:E4"/>
    <mergeCell ref="F3:F4"/>
    <mergeCell ref="G3:G4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0" orientation="landscape" r:id="rId1"/>
  <headerFooter>
    <oddFooter>第 &amp;P 页，共 &amp;N 页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D5"/>
  <sheetViews>
    <sheetView workbookViewId="0">
      <selection sqref="A1:XFD1048576"/>
    </sheetView>
  </sheetViews>
  <sheetFormatPr defaultRowHeight="13.5"/>
  <cols>
    <col min="2" max="2" width="51.125" customWidth="1"/>
    <col min="3" max="3" width="30.25" customWidth="1"/>
    <col min="4" max="4" width="28.125" customWidth="1"/>
  </cols>
  <sheetData>
    <row r="1" spans="1:4" ht="49.5" customHeight="1">
      <c r="A1" s="95" t="s">
        <v>397</v>
      </c>
      <c r="B1" s="95"/>
      <c r="C1" s="95"/>
      <c r="D1" s="95"/>
    </row>
    <row r="2" spans="1:4" ht="49.5" customHeight="1">
      <c r="A2" s="96" t="s">
        <v>405</v>
      </c>
      <c r="B2" s="96"/>
      <c r="C2" s="96"/>
      <c r="D2" s="96"/>
    </row>
    <row r="3" spans="1:4" ht="39.950000000000003" customHeight="1">
      <c r="A3" s="48" t="s">
        <v>1</v>
      </c>
      <c r="B3" s="48" t="s">
        <v>398</v>
      </c>
      <c r="C3" s="49" t="s">
        <v>399</v>
      </c>
      <c r="D3" s="49" t="s">
        <v>400</v>
      </c>
    </row>
    <row r="4" spans="1:4" ht="39.950000000000003" customHeight="1">
      <c r="A4" s="50">
        <v>1</v>
      </c>
      <c r="B4" s="51" t="s">
        <v>401</v>
      </c>
      <c r="C4" s="51">
        <v>1000</v>
      </c>
      <c r="D4" s="51">
        <v>0</v>
      </c>
    </row>
    <row r="5" spans="1:4" ht="39.950000000000003" customHeight="1">
      <c r="A5" s="51"/>
      <c r="B5" s="52" t="s">
        <v>402</v>
      </c>
      <c r="C5" s="51">
        <f>SUM(C4:C4)</f>
        <v>1000</v>
      </c>
      <c r="D5" s="51">
        <f>SUM(D4:D4)</f>
        <v>0</v>
      </c>
    </row>
  </sheetData>
  <mergeCells count="2">
    <mergeCell ref="A1:D1"/>
    <mergeCell ref="A2:D2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K75"/>
  <sheetViews>
    <sheetView workbookViewId="0">
      <selection activeCell="C13" sqref="C13"/>
    </sheetView>
  </sheetViews>
  <sheetFormatPr defaultRowHeight="11.25"/>
  <cols>
    <col min="1" max="1" width="9" style="21"/>
    <col min="2" max="2" width="33" style="3" customWidth="1"/>
    <col min="3" max="3" width="9" style="3"/>
    <col min="4" max="4" width="9" style="22"/>
    <col min="5" max="6" width="10.5" style="3" bestFit="1" customWidth="1"/>
    <col min="7" max="7" width="12.75" style="3" customWidth="1"/>
    <col min="8" max="8" width="9.75" style="3" bestFit="1" customWidth="1"/>
    <col min="9" max="9" width="12.25" style="3" customWidth="1"/>
    <col min="10" max="10" width="14.875" style="3" customWidth="1"/>
    <col min="11" max="16384" width="9" style="3"/>
  </cols>
  <sheetData>
    <row r="1" spans="1:11" ht="25.5">
      <c r="A1" s="92" t="s">
        <v>407</v>
      </c>
      <c r="B1" s="92"/>
      <c r="C1" s="92"/>
      <c r="D1" s="92"/>
      <c r="E1" s="92"/>
      <c r="F1" s="92"/>
      <c r="G1" s="92"/>
      <c r="H1" s="92"/>
      <c r="I1" s="92"/>
      <c r="J1" s="92"/>
      <c r="K1" s="92"/>
    </row>
    <row r="2" spans="1:11" ht="20.25">
      <c r="A2" s="97" t="s">
        <v>406</v>
      </c>
      <c r="B2" s="97"/>
      <c r="C2" s="97"/>
      <c r="D2" s="97"/>
      <c r="E2" s="97"/>
      <c r="F2" s="97"/>
      <c r="G2" s="97"/>
      <c r="H2" s="97"/>
      <c r="I2" s="97"/>
      <c r="J2" s="97"/>
      <c r="K2" s="97"/>
    </row>
    <row r="3" spans="1:11">
      <c r="A3" s="93" t="s">
        <v>1</v>
      </c>
      <c r="B3" s="93" t="s">
        <v>2</v>
      </c>
      <c r="C3" s="93" t="s">
        <v>3</v>
      </c>
      <c r="D3" s="93" t="s">
        <v>4</v>
      </c>
      <c r="E3" s="4" t="s">
        <v>233</v>
      </c>
      <c r="F3" s="4" t="s">
        <v>234</v>
      </c>
      <c r="G3" s="4" t="s">
        <v>235</v>
      </c>
      <c r="H3" s="4" t="s">
        <v>167</v>
      </c>
      <c r="I3" s="4" t="s">
        <v>236</v>
      </c>
      <c r="J3" s="93" t="s">
        <v>16</v>
      </c>
      <c r="K3" s="93" t="s">
        <v>17</v>
      </c>
    </row>
    <row r="4" spans="1:11">
      <c r="A4" s="94"/>
      <c r="B4" s="94"/>
      <c r="C4" s="94"/>
      <c r="D4" s="94"/>
      <c r="E4" s="4" t="s">
        <v>165</v>
      </c>
      <c r="F4" s="4" t="s">
        <v>165</v>
      </c>
      <c r="G4" s="4" t="s">
        <v>165</v>
      </c>
      <c r="H4" s="4" t="s">
        <v>166</v>
      </c>
      <c r="I4" s="4" t="s">
        <v>162</v>
      </c>
      <c r="J4" s="94"/>
      <c r="K4" s="94"/>
    </row>
    <row r="5" spans="1:11" ht="20.100000000000001" customHeight="1">
      <c r="A5" s="5" t="s">
        <v>18</v>
      </c>
      <c r="B5" s="6" t="s">
        <v>19</v>
      </c>
      <c r="C5" s="6"/>
      <c r="D5" s="7" t="s">
        <v>20</v>
      </c>
      <c r="E5" s="28">
        <f>E6+E33+E40</f>
        <v>17015091.18</v>
      </c>
      <c r="F5" s="28">
        <f>F6+F33+F40</f>
        <v>12121957.580000002</v>
      </c>
      <c r="G5" s="28">
        <f>G6+G33+G40</f>
        <v>23826249.75</v>
      </c>
      <c r="H5" s="28">
        <f>H6+H33+H40</f>
        <v>2731814.85</v>
      </c>
      <c r="I5" s="28">
        <f>I6+I33+I40</f>
        <v>56740090.719999999</v>
      </c>
      <c r="J5" s="28">
        <f t="shared" ref="J5:J68" si="0">SUM(E5:I5)</f>
        <v>112435204.08000001</v>
      </c>
      <c r="K5" s="7"/>
    </row>
    <row r="6" spans="1:11" ht="20.100000000000001" customHeight="1">
      <c r="A6" s="5" t="s">
        <v>21</v>
      </c>
      <c r="B6" s="6" t="s">
        <v>22</v>
      </c>
      <c r="C6" s="6"/>
      <c r="D6" s="7" t="s">
        <v>20</v>
      </c>
      <c r="E6" s="28">
        <f>E7+E10+E14+E17+E22+E27+E29+E31+E32</f>
        <v>14610833.039999999</v>
      </c>
      <c r="F6" s="28">
        <f>F7+F10+F14+F17+F22+F27+F29+F31+F32</f>
        <v>9813215.4400000013</v>
      </c>
      <c r="G6" s="28">
        <f>G7+G10+G14+G17+G22+G27+G29+G31+G32</f>
        <v>20494869.710000001</v>
      </c>
      <c r="H6" s="28">
        <f>H7+H10+H14+H17+H22+H27+H29+H31+H32</f>
        <v>2358589.71</v>
      </c>
      <c r="I6" s="28">
        <f>I7+I10+I14+I17+I22+I27+I29+I31+I32</f>
        <v>46334403.850000001</v>
      </c>
      <c r="J6" s="28">
        <f t="shared" si="0"/>
        <v>93611911.75</v>
      </c>
      <c r="K6" s="7"/>
    </row>
    <row r="7" spans="1:11" ht="20.100000000000001" customHeight="1">
      <c r="A7" s="5" t="s">
        <v>23</v>
      </c>
      <c r="B7" s="6" t="s">
        <v>24</v>
      </c>
      <c r="C7" s="6"/>
      <c r="D7" s="7" t="s">
        <v>20</v>
      </c>
      <c r="E7" s="28">
        <f>E8+E9</f>
        <v>2166309.6</v>
      </c>
      <c r="F7" s="28">
        <f>F8+F9</f>
        <v>1470648</v>
      </c>
      <c r="G7" s="28">
        <f>G8+G9</f>
        <v>3260976</v>
      </c>
      <c r="H7" s="28">
        <f>H8+H9</f>
        <v>374328</v>
      </c>
      <c r="I7" s="28">
        <f>I8+I9</f>
        <v>7218017</v>
      </c>
      <c r="J7" s="28">
        <f t="shared" si="0"/>
        <v>14490278.6</v>
      </c>
      <c r="K7" s="7"/>
    </row>
    <row r="8" spans="1:11" ht="20.100000000000001" customHeight="1">
      <c r="A8" s="5" t="s">
        <v>25</v>
      </c>
      <c r="B8" s="6" t="s">
        <v>26</v>
      </c>
      <c r="C8" s="6" t="s">
        <v>27</v>
      </c>
      <c r="D8" s="7" t="s">
        <v>28</v>
      </c>
      <c r="E8" s="34">
        <v>1299624</v>
      </c>
      <c r="F8" s="34">
        <v>902088</v>
      </c>
      <c r="G8" s="34">
        <v>1862328</v>
      </c>
      <c r="H8" s="34">
        <v>181716</v>
      </c>
      <c r="I8" s="34">
        <v>3677040</v>
      </c>
      <c r="J8" s="28">
        <f t="shared" si="0"/>
        <v>7922796</v>
      </c>
      <c r="K8" s="10"/>
    </row>
    <row r="9" spans="1:11" ht="20.100000000000001" customHeight="1">
      <c r="A9" s="5" t="s">
        <v>29</v>
      </c>
      <c r="B9" s="6" t="s">
        <v>30</v>
      </c>
      <c r="C9" s="6" t="s">
        <v>27</v>
      </c>
      <c r="D9" s="7" t="s">
        <v>28</v>
      </c>
      <c r="E9" s="34">
        <v>866685.6</v>
      </c>
      <c r="F9" s="34">
        <v>568560</v>
      </c>
      <c r="G9" s="34">
        <v>1398648</v>
      </c>
      <c r="H9" s="34">
        <v>192612</v>
      </c>
      <c r="I9" s="34">
        <v>3540977</v>
      </c>
      <c r="J9" s="28">
        <f t="shared" si="0"/>
        <v>6567482.5999999996</v>
      </c>
      <c r="K9" s="7"/>
    </row>
    <row r="10" spans="1:11" ht="20.100000000000001" customHeight="1">
      <c r="A10" s="5" t="s">
        <v>31</v>
      </c>
      <c r="B10" s="6" t="s">
        <v>32</v>
      </c>
      <c r="C10" s="6"/>
      <c r="D10" s="7" t="s">
        <v>20</v>
      </c>
      <c r="E10" s="28">
        <f>E11+E12</f>
        <v>245508</v>
      </c>
      <c r="F10" s="28">
        <f>F11+F12</f>
        <v>165636</v>
      </c>
      <c r="G10" s="28">
        <f>G11+G12</f>
        <v>331980</v>
      </c>
      <c r="H10" s="28">
        <f>H11+H12</f>
        <v>32196</v>
      </c>
      <c r="I10" s="28">
        <f>I11+I12</f>
        <v>654264</v>
      </c>
      <c r="J10" s="28">
        <f t="shared" si="0"/>
        <v>1429584</v>
      </c>
      <c r="K10" s="7"/>
    </row>
    <row r="11" spans="1:11" ht="20.100000000000001" customHeight="1">
      <c r="A11" s="5" t="s">
        <v>33</v>
      </c>
      <c r="B11" s="6" t="s">
        <v>34</v>
      </c>
      <c r="C11" s="6" t="s">
        <v>27</v>
      </c>
      <c r="D11" s="7" t="s">
        <v>28</v>
      </c>
      <c r="E11" s="34">
        <v>2628</v>
      </c>
      <c r="F11" s="34">
        <v>1956</v>
      </c>
      <c r="G11" s="34">
        <v>4620</v>
      </c>
      <c r="H11" s="34">
        <v>516</v>
      </c>
      <c r="I11" s="34">
        <v>15384</v>
      </c>
      <c r="J11" s="28">
        <f t="shared" si="0"/>
        <v>25104</v>
      </c>
      <c r="K11" s="7"/>
    </row>
    <row r="12" spans="1:11" ht="20.100000000000001" customHeight="1">
      <c r="A12" s="5" t="s">
        <v>35</v>
      </c>
      <c r="B12" s="6" t="s">
        <v>36</v>
      </c>
      <c r="C12" s="6"/>
      <c r="D12" s="7" t="s">
        <v>20</v>
      </c>
      <c r="E12" s="28">
        <f>E13</f>
        <v>242880</v>
      </c>
      <c r="F12" s="28">
        <f>F13</f>
        <v>163680</v>
      </c>
      <c r="G12" s="28">
        <f>G13</f>
        <v>327360</v>
      </c>
      <c r="H12" s="28">
        <f>H13</f>
        <v>31680</v>
      </c>
      <c r="I12" s="28">
        <f>I13</f>
        <v>638880</v>
      </c>
      <c r="J12" s="28">
        <f t="shared" si="0"/>
        <v>1404480</v>
      </c>
      <c r="K12" s="7"/>
    </row>
    <row r="13" spans="1:11" ht="20.100000000000001" customHeight="1">
      <c r="A13" s="5" t="s">
        <v>37</v>
      </c>
      <c r="B13" s="6" t="s">
        <v>188</v>
      </c>
      <c r="C13" s="6" t="s">
        <v>27</v>
      </c>
      <c r="D13" s="7" t="s">
        <v>20</v>
      </c>
      <c r="E13" s="28">
        <f>440*12*E63</f>
        <v>242880</v>
      </c>
      <c r="F13" s="28">
        <f>440*12*F63</f>
        <v>163680</v>
      </c>
      <c r="G13" s="28">
        <f>440*12*G63</f>
        <v>327360</v>
      </c>
      <c r="H13" s="28">
        <f>440*12*H63</f>
        <v>31680</v>
      </c>
      <c r="I13" s="28">
        <f>440*12*I63</f>
        <v>638880</v>
      </c>
      <c r="J13" s="28">
        <f t="shared" si="0"/>
        <v>1404480</v>
      </c>
      <c r="K13" s="7"/>
    </row>
    <row r="14" spans="1:11" ht="20.100000000000001" customHeight="1">
      <c r="A14" s="5" t="s">
        <v>38</v>
      </c>
      <c r="B14" s="6" t="s">
        <v>39</v>
      </c>
      <c r="C14" s="6"/>
      <c r="D14" s="7" t="s">
        <v>40</v>
      </c>
      <c r="E14" s="28">
        <f>E15+E16</f>
        <v>98453.14</v>
      </c>
      <c r="F14" s="28">
        <f>F15+F16</f>
        <v>66665.14</v>
      </c>
      <c r="G14" s="28">
        <f>G15+G16</f>
        <v>138980.57999999999</v>
      </c>
      <c r="H14" s="28">
        <f>H15+H16</f>
        <v>16112.58</v>
      </c>
      <c r="I14" s="28">
        <f>I15+I16</f>
        <v>309838.28000000003</v>
      </c>
      <c r="J14" s="28">
        <f t="shared" si="0"/>
        <v>630049.72</v>
      </c>
      <c r="K14" s="7"/>
    </row>
    <row r="15" spans="1:11" ht="20.100000000000001" customHeight="1">
      <c r="A15" s="5" t="s">
        <v>41</v>
      </c>
      <c r="B15" s="6" t="s">
        <v>189</v>
      </c>
      <c r="C15" s="6" t="s">
        <v>27</v>
      </c>
      <c r="D15" s="7" t="s">
        <v>42</v>
      </c>
      <c r="E15" s="28">
        <f>ROUND(E31/0.07*0.005,2)</f>
        <v>49226.57</v>
      </c>
      <c r="F15" s="28">
        <f>ROUND(F31/0.07*0.005,2)</f>
        <v>33332.57</v>
      </c>
      <c r="G15" s="28">
        <f>ROUND(G31/0.07*0.005,2)</f>
        <v>69490.289999999994</v>
      </c>
      <c r="H15" s="28">
        <f>ROUND(H31/0.07*0.005,2)</f>
        <v>8056.29</v>
      </c>
      <c r="I15" s="28">
        <f>ROUND(I31/0.07*0.005,2)</f>
        <v>154919.14000000001</v>
      </c>
      <c r="J15" s="28">
        <f t="shared" si="0"/>
        <v>315024.86</v>
      </c>
      <c r="K15" s="7"/>
    </row>
    <row r="16" spans="1:11" ht="20.100000000000001" customHeight="1">
      <c r="A16" s="5" t="s">
        <v>43</v>
      </c>
      <c r="B16" s="6" t="s">
        <v>190</v>
      </c>
      <c r="C16" s="6" t="s">
        <v>27</v>
      </c>
      <c r="D16" s="7" t="s">
        <v>42</v>
      </c>
      <c r="E16" s="28">
        <f>ROUND(E31/0.07*0.005,2)</f>
        <v>49226.57</v>
      </c>
      <c r="F16" s="28">
        <f>ROUND(F31/0.07*0.005,2)</f>
        <v>33332.57</v>
      </c>
      <c r="G16" s="28">
        <f>ROUND(G31/0.07*0.005,2)</f>
        <v>69490.289999999994</v>
      </c>
      <c r="H16" s="28">
        <f>ROUND(H31/0.07*0.005,2)</f>
        <v>8056.29</v>
      </c>
      <c r="I16" s="28">
        <f>ROUND(I31/0.07*0.005,2)</f>
        <v>154919.14000000001</v>
      </c>
      <c r="J16" s="28">
        <f t="shared" si="0"/>
        <v>315024.86</v>
      </c>
      <c r="K16" s="7"/>
    </row>
    <row r="17" spans="1:11" ht="20.100000000000001" customHeight="1">
      <c r="A17" s="5" t="s">
        <v>44</v>
      </c>
      <c r="B17" s="6" t="s">
        <v>45</v>
      </c>
      <c r="C17" s="6"/>
      <c r="D17" s="7" t="s">
        <v>20</v>
      </c>
      <c r="E17" s="28">
        <f>E18+E19+E20+E21</f>
        <v>7768624</v>
      </c>
      <c r="F17" s="28">
        <f>F18+F19+F20+F21</f>
        <v>5177000</v>
      </c>
      <c r="G17" s="28">
        <f>G18+G19+G20+G21</f>
        <v>10647788</v>
      </c>
      <c r="H17" s="28">
        <f>H18+H19+H20+H21</f>
        <v>1227000</v>
      </c>
      <c r="I17" s="28">
        <f>I18+I19+I20+I21</f>
        <v>24519400</v>
      </c>
      <c r="J17" s="28">
        <f t="shared" si="0"/>
        <v>49339812</v>
      </c>
      <c r="K17" s="7"/>
    </row>
    <row r="18" spans="1:11" ht="20.100000000000001" customHeight="1">
      <c r="A18" s="5" t="s">
        <v>46</v>
      </c>
      <c r="B18" s="6" t="s">
        <v>47</v>
      </c>
      <c r="C18" s="6" t="s">
        <v>27</v>
      </c>
      <c r="D18" s="7" t="s">
        <v>191</v>
      </c>
      <c r="E18" s="34">
        <v>7245000</v>
      </c>
      <c r="F18" s="34">
        <v>4991000</v>
      </c>
      <c r="G18" s="34">
        <v>10004000</v>
      </c>
      <c r="H18" s="34">
        <v>1191000</v>
      </c>
      <c r="I18" s="34">
        <v>21967400</v>
      </c>
      <c r="J18" s="28">
        <f t="shared" si="0"/>
        <v>45398400</v>
      </c>
      <c r="K18" s="7"/>
    </row>
    <row r="19" spans="1:11" ht="20.100000000000001" customHeight="1">
      <c r="A19" s="5" t="s">
        <v>48</v>
      </c>
      <c r="B19" s="6" t="s">
        <v>49</v>
      </c>
      <c r="C19" s="6" t="s">
        <v>27</v>
      </c>
      <c r="D19" s="7" t="s">
        <v>50</v>
      </c>
      <c r="E19" s="34">
        <v>247624</v>
      </c>
      <c r="F19" s="34"/>
      <c r="G19" s="34">
        <v>271788</v>
      </c>
      <c r="H19" s="34"/>
      <c r="I19" s="34">
        <v>616000</v>
      </c>
      <c r="J19" s="28">
        <f t="shared" si="0"/>
        <v>1135412</v>
      </c>
      <c r="K19" s="7"/>
    </row>
    <row r="20" spans="1:11" ht="20.100000000000001" customHeight="1">
      <c r="A20" s="5" t="s">
        <v>51</v>
      </c>
      <c r="B20" s="6" t="s">
        <v>192</v>
      </c>
      <c r="C20" s="6" t="s">
        <v>27</v>
      </c>
      <c r="D20" s="7" t="s">
        <v>20</v>
      </c>
      <c r="E20" s="28">
        <f>E63*500*12</f>
        <v>276000</v>
      </c>
      <c r="F20" s="28">
        <f>F63*500*12</f>
        <v>186000</v>
      </c>
      <c r="G20" s="28">
        <f>G63*500*12</f>
        <v>372000</v>
      </c>
      <c r="H20" s="28">
        <f>H63*500*12</f>
        <v>36000</v>
      </c>
      <c r="I20" s="28">
        <f>I63*500*12</f>
        <v>726000</v>
      </c>
      <c r="J20" s="28">
        <f t="shared" si="0"/>
        <v>1596000</v>
      </c>
      <c r="K20" s="7"/>
    </row>
    <row r="21" spans="1:11" ht="20.100000000000001" customHeight="1">
      <c r="A21" s="5" t="s">
        <v>52</v>
      </c>
      <c r="B21" s="6" t="s">
        <v>193</v>
      </c>
      <c r="C21" s="6" t="s">
        <v>27</v>
      </c>
      <c r="D21" s="7" t="s">
        <v>28</v>
      </c>
      <c r="E21" s="34"/>
      <c r="F21" s="34"/>
      <c r="G21" s="34"/>
      <c r="H21" s="34"/>
      <c r="I21" s="34">
        <v>1210000</v>
      </c>
      <c r="J21" s="28">
        <f t="shared" si="0"/>
        <v>1210000</v>
      </c>
      <c r="K21" s="7"/>
    </row>
    <row r="22" spans="1:11" ht="20.100000000000001" customHeight="1">
      <c r="A22" s="5" t="s">
        <v>53</v>
      </c>
      <c r="B22" s="6" t="s">
        <v>54</v>
      </c>
      <c r="C22" s="6"/>
      <c r="D22" s="7" t="s">
        <v>20</v>
      </c>
      <c r="E22" s="28">
        <f>E23+E24</f>
        <v>1279890.8700000001</v>
      </c>
      <c r="F22" s="28">
        <f>F23+F24</f>
        <v>866646.87000000011</v>
      </c>
      <c r="G22" s="28">
        <f>G23+G24</f>
        <v>1806747.42</v>
      </c>
      <c r="H22" s="28">
        <f>H23+H24</f>
        <v>209463.42</v>
      </c>
      <c r="I22" s="28">
        <f>I23+I24</f>
        <v>4027897.71</v>
      </c>
      <c r="J22" s="28">
        <f t="shared" si="0"/>
        <v>8190646.29</v>
      </c>
      <c r="K22" s="7"/>
    </row>
    <row r="23" spans="1:11" ht="20.100000000000001" customHeight="1">
      <c r="A23" s="5" t="s">
        <v>55</v>
      </c>
      <c r="B23" s="6" t="s">
        <v>331</v>
      </c>
      <c r="C23" s="6" t="s">
        <v>56</v>
      </c>
      <c r="D23" s="7" t="s">
        <v>20</v>
      </c>
      <c r="E23" s="28">
        <f>ROUND(E31/0.07*0.09,2)</f>
        <v>886078.29</v>
      </c>
      <c r="F23" s="28">
        <f>ROUND(F31/0.07*0.09,2)</f>
        <v>599986.29</v>
      </c>
      <c r="G23" s="28">
        <f>ROUND(G31/0.07*0.09,2)</f>
        <v>1250825.1399999999</v>
      </c>
      <c r="H23" s="28">
        <f>ROUND(H31/0.07*0.09,2)</f>
        <v>145013.14000000001</v>
      </c>
      <c r="I23" s="28">
        <f>ROUND(I31/0.07*0.09,2)</f>
        <v>2788544.57</v>
      </c>
      <c r="J23" s="28">
        <f t="shared" si="0"/>
        <v>5670447.4299999997</v>
      </c>
      <c r="K23" s="7"/>
    </row>
    <row r="24" spans="1:11" ht="20.100000000000001" customHeight="1">
      <c r="A24" s="5" t="s">
        <v>57</v>
      </c>
      <c r="B24" s="6" t="s">
        <v>332</v>
      </c>
      <c r="C24" s="6" t="s">
        <v>56</v>
      </c>
      <c r="D24" s="7" t="s">
        <v>42</v>
      </c>
      <c r="E24" s="28">
        <f>E25+E26</f>
        <v>393812.58</v>
      </c>
      <c r="F24" s="28">
        <f>F25+F26</f>
        <v>266660.58</v>
      </c>
      <c r="G24" s="28">
        <f>G25+G26</f>
        <v>555922.28</v>
      </c>
      <c r="H24" s="28">
        <f>H25+H26</f>
        <v>64450.28</v>
      </c>
      <c r="I24" s="28">
        <f>I25+I26</f>
        <v>1239353.1399999999</v>
      </c>
      <c r="J24" s="28">
        <f t="shared" si="0"/>
        <v>2520198.86</v>
      </c>
      <c r="K24" s="7"/>
    </row>
    <row r="25" spans="1:11" ht="20.100000000000001" customHeight="1">
      <c r="A25" s="5" t="s">
        <v>58</v>
      </c>
      <c r="B25" s="6" t="s">
        <v>333</v>
      </c>
      <c r="C25" s="6" t="s">
        <v>56</v>
      </c>
      <c r="D25" s="7" t="s">
        <v>42</v>
      </c>
      <c r="E25" s="28">
        <f>ROUND(E31/0.07*0.02,2)</f>
        <v>196906.29</v>
      </c>
      <c r="F25" s="28">
        <f>ROUND(F31/0.07*0.02,2)</f>
        <v>133330.29</v>
      </c>
      <c r="G25" s="28">
        <f>ROUND(G31/0.07*0.02,2)</f>
        <v>277961.14</v>
      </c>
      <c r="H25" s="28">
        <f>ROUND(H31/0.07*0.02,2)</f>
        <v>32225.14</v>
      </c>
      <c r="I25" s="28">
        <f>ROUND(I31/0.07*0.02,2)</f>
        <v>619676.56999999995</v>
      </c>
      <c r="J25" s="28">
        <f t="shared" si="0"/>
        <v>1260099.43</v>
      </c>
      <c r="K25" s="7"/>
    </row>
    <row r="26" spans="1:11" ht="20.100000000000001" customHeight="1">
      <c r="A26" s="5" t="s">
        <v>59</v>
      </c>
      <c r="B26" s="6" t="s">
        <v>334</v>
      </c>
      <c r="C26" s="6" t="s">
        <v>56</v>
      </c>
      <c r="D26" s="7" t="s">
        <v>42</v>
      </c>
      <c r="E26" s="28">
        <f>ROUND(E31/0.07*0.02,2)</f>
        <v>196906.29</v>
      </c>
      <c r="F26" s="28">
        <f>ROUND(F31/0.07*0.02,2)</f>
        <v>133330.29</v>
      </c>
      <c r="G26" s="28">
        <f>ROUND(G31/0.07*0.02,2)</f>
        <v>277961.14</v>
      </c>
      <c r="H26" s="28">
        <f>ROUND(H31/0.07*0.02,2)</f>
        <v>32225.14</v>
      </c>
      <c r="I26" s="28">
        <f>ROUND(I31/0.07*0.02,2)</f>
        <v>619676.56999999995</v>
      </c>
      <c r="J26" s="28">
        <f t="shared" si="0"/>
        <v>1260099.43</v>
      </c>
      <c r="K26" s="7"/>
    </row>
    <row r="27" spans="1:11" ht="20.100000000000001" customHeight="1">
      <c r="A27" s="5" t="s">
        <v>60</v>
      </c>
      <c r="B27" s="6" t="s">
        <v>61</v>
      </c>
      <c r="C27" s="6"/>
      <c r="D27" s="7" t="s">
        <v>20</v>
      </c>
      <c r="E27" s="28">
        <f>E28</f>
        <v>1575250.29</v>
      </c>
      <c r="F27" s="28">
        <f>F28</f>
        <v>1066642.29</v>
      </c>
      <c r="G27" s="28">
        <f>G28</f>
        <v>2223689.14</v>
      </c>
      <c r="H27" s="28">
        <f>H28</f>
        <v>257801.14</v>
      </c>
      <c r="I27" s="28">
        <f>I28</f>
        <v>4957412.57</v>
      </c>
      <c r="J27" s="28">
        <f t="shared" si="0"/>
        <v>10080795.43</v>
      </c>
      <c r="K27" s="7"/>
    </row>
    <row r="28" spans="1:11" ht="20.100000000000001" customHeight="1">
      <c r="A28" s="5" t="s">
        <v>62</v>
      </c>
      <c r="B28" s="6" t="s">
        <v>194</v>
      </c>
      <c r="C28" s="6" t="s">
        <v>63</v>
      </c>
      <c r="D28" s="7" t="s">
        <v>42</v>
      </c>
      <c r="E28" s="28">
        <f>ROUND(E31/0.07*0.16,2)</f>
        <v>1575250.29</v>
      </c>
      <c r="F28" s="28">
        <f>ROUND(F31/0.07*0.16,2)</f>
        <v>1066642.29</v>
      </c>
      <c r="G28" s="28">
        <f>ROUND(G31/0.07*0.16,2)</f>
        <v>2223689.14</v>
      </c>
      <c r="H28" s="28">
        <f>ROUND(H31/0.07*0.16,2)</f>
        <v>257801.14</v>
      </c>
      <c r="I28" s="28">
        <f>ROUND(I31/0.07*0.16,2)</f>
        <v>4957412.57</v>
      </c>
      <c r="J28" s="28">
        <f t="shared" si="0"/>
        <v>10080795.43</v>
      </c>
      <c r="K28" s="7"/>
    </row>
    <row r="29" spans="1:11" ht="20.100000000000001" customHeight="1">
      <c r="A29" s="5" t="s">
        <v>64</v>
      </c>
      <c r="B29" s="6" t="s">
        <v>65</v>
      </c>
      <c r="C29" s="6"/>
      <c r="D29" s="7" t="s">
        <v>20</v>
      </c>
      <c r="E29" s="28">
        <f>E30</f>
        <v>787625.14</v>
      </c>
      <c r="F29" s="28">
        <f>F30</f>
        <v>533321.14</v>
      </c>
      <c r="G29" s="28">
        <f>G30</f>
        <v>1111844.57</v>
      </c>
      <c r="H29" s="28">
        <f>H30</f>
        <v>128900.57</v>
      </c>
      <c r="I29" s="28">
        <f>I30</f>
        <v>2478706.29</v>
      </c>
      <c r="J29" s="28">
        <f t="shared" si="0"/>
        <v>5040397.71</v>
      </c>
      <c r="K29" s="7"/>
    </row>
    <row r="30" spans="1:11" ht="20.100000000000001" customHeight="1">
      <c r="A30" s="5" t="s">
        <v>66</v>
      </c>
      <c r="B30" s="6" t="s">
        <v>67</v>
      </c>
      <c r="C30" s="6" t="s">
        <v>68</v>
      </c>
      <c r="D30" s="7" t="s">
        <v>42</v>
      </c>
      <c r="E30" s="28">
        <f>ROUND(E31/0.07*0.08,2)</f>
        <v>787625.14</v>
      </c>
      <c r="F30" s="28">
        <f>ROUND(F31/0.07*0.08,2)</f>
        <v>533321.14</v>
      </c>
      <c r="G30" s="28">
        <f>ROUND(G31/0.07*0.08,2)</f>
        <v>1111844.57</v>
      </c>
      <c r="H30" s="28">
        <f>ROUND(H31/0.07*0.08,2)</f>
        <v>128900.57</v>
      </c>
      <c r="I30" s="28">
        <f>ROUND(I31/0.07*0.08,2)</f>
        <v>2478706.29</v>
      </c>
      <c r="J30" s="28">
        <f t="shared" si="0"/>
        <v>5040397.71</v>
      </c>
      <c r="K30" s="7"/>
    </row>
    <row r="31" spans="1:11" ht="20.100000000000001" customHeight="1">
      <c r="A31" s="5" t="s">
        <v>69</v>
      </c>
      <c r="B31" s="6" t="s">
        <v>335</v>
      </c>
      <c r="C31" s="6" t="s">
        <v>70</v>
      </c>
      <c r="D31" s="7" t="s">
        <v>28</v>
      </c>
      <c r="E31" s="34">
        <v>689172</v>
      </c>
      <c r="F31" s="34">
        <v>466656</v>
      </c>
      <c r="G31" s="34">
        <v>972864</v>
      </c>
      <c r="H31" s="34">
        <v>112788</v>
      </c>
      <c r="I31" s="34">
        <v>2168868</v>
      </c>
      <c r="J31" s="28">
        <f t="shared" si="0"/>
        <v>4410348</v>
      </c>
      <c r="K31" s="7"/>
    </row>
    <row r="32" spans="1:11" ht="20.100000000000001" customHeight="1">
      <c r="A32" s="5" t="s">
        <v>71</v>
      </c>
      <c r="B32" s="6" t="s">
        <v>195</v>
      </c>
      <c r="C32" s="6" t="s">
        <v>27</v>
      </c>
      <c r="D32" s="7" t="s">
        <v>196</v>
      </c>
      <c r="E32" s="34">
        <v>0</v>
      </c>
      <c r="F32" s="34"/>
      <c r="G32" s="34"/>
      <c r="H32" s="34"/>
      <c r="I32" s="34"/>
      <c r="J32" s="28">
        <f t="shared" si="0"/>
        <v>0</v>
      </c>
      <c r="K32" s="7"/>
    </row>
    <row r="33" spans="1:11" ht="20.100000000000001" customHeight="1">
      <c r="A33" s="5" t="s">
        <v>72</v>
      </c>
      <c r="B33" s="6" t="s">
        <v>73</v>
      </c>
      <c r="C33" s="6"/>
      <c r="D33" s="7" t="s">
        <v>20</v>
      </c>
      <c r="E33" s="28">
        <f>E34+E36+E38</f>
        <v>28560</v>
      </c>
      <c r="F33" s="28">
        <f>F34+F36+F38</f>
        <v>2520</v>
      </c>
      <c r="G33" s="28">
        <f>G34+G36+G38</f>
        <v>236880</v>
      </c>
      <c r="H33" s="28">
        <f>H34+H36+H38</f>
        <v>55620</v>
      </c>
      <c r="I33" s="28">
        <f>I34+I36+I38</f>
        <v>1867260</v>
      </c>
      <c r="J33" s="28">
        <f t="shared" si="0"/>
        <v>2190840</v>
      </c>
      <c r="K33" s="7"/>
    </row>
    <row r="34" spans="1:11" ht="20.100000000000001" customHeight="1">
      <c r="A34" s="5" t="s">
        <v>74</v>
      </c>
      <c r="B34" s="6" t="s">
        <v>197</v>
      </c>
      <c r="C34" s="6" t="s">
        <v>75</v>
      </c>
      <c r="D34" s="7" t="s">
        <v>198</v>
      </c>
      <c r="E34" s="28">
        <f>E35</f>
        <v>26040</v>
      </c>
      <c r="F34" s="28">
        <f>F35</f>
        <v>0</v>
      </c>
      <c r="G34" s="28">
        <f>G35</f>
        <v>233280</v>
      </c>
      <c r="H34" s="28">
        <f>H35</f>
        <v>55620</v>
      </c>
      <c r="I34" s="28">
        <f>I35</f>
        <v>1865100</v>
      </c>
      <c r="J34" s="28">
        <f t="shared" si="0"/>
        <v>2180040</v>
      </c>
      <c r="K34" s="7"/>
    </row>
    <row r="35" spans="1:11" ht="20.100000000000001" customHeight="1">
      <c r="A35" s="5" t="s">
        <v>76</v>
      </c>
      <c r="B35" s="6" t="s">
        <v>199</v>
      </c>
      <c r="C35" s="6" t="s">
        <v>75</v>
      </c>
      <c r="D35" s="7" t="s">
        <v>198</v>
      </c>
      <c r="E35" s="34">
        <v>26040</v>
      </c>
      <c r="F35" s="34"/>
      <c r="G35" s="34">
        <v>233280</v>
      </c>
      <c r="H35" s="34">
        <v>55620</v>
      </c>
      <c r="I35" s="34">
        <v>1865100</v>
      </c>
      <c r="J35" s="28">
        <f t="shared" si="0"/>
        <v>2180040</v>
      </c>
      <c r="K35" s="7"/>
    </row>
    <row r="36" spans="1:11" ht="20.100000000000001" customHeight="1">
      <c r="A36" s="5" t="s">
        <v>77</v>
      </c>
      <c r="B36" s="6" t="s">
        <v>78</v>
      </c>
      <c r="C36" s="6"/>
      <c r="D36" s="7" t="s">
        <v>20</v>
      </c>
      <c r="E36" s="28">
        <f>E37</f>
        <v>2520</v>
      </c>
      <c r="F36" s="28">
        <f>F37</f>
        <v>2520</v>
      </c>
      <c r="G36" s="28">
        <f>G37</f>
        <v>3600</v>
      </c>
      <c r="H36" s="28">
        <f>H37</f>
        <v>0</v>
      </c>
      <c r="I36" s="28">
        <f>I37</f>
        <v>2160</v>
      </c>
      <c r="J36" s="28">
        <f t="shared" si="0"/>
        <v>10800</v>
      </c>
      <c r="K36" s="7"/>
    </row>
    <row r="37" spans="1:11" ht="20.100000000000001" customHeight="1">
      <c r="A37" s="5" t="s">
        <v>79</v>
      </c>
      <c r="B37" s="6" t="s">
        <v>80</v>
      </c>
      <c r="C37" s="6" t="s">
        <v>27</v>
      </c>
      <c r="D37" s="7" t="s">
        <v>28</v>
      </c>
      <c r="E37" s="34">
        <v>2520</v>
      </c>
      <c r="F37" s="34">
        <v>2520</v>
      </c>
      <c r="G37" s="34">
        <v>3600</v>
      </c>
      <c r="H37" s="34"/>
      <c r="I37" s="34">
        <v>2160</v>
      </c>
      <c r="J37" s="28">
        <f t="shared" si="0"/>
        <v>10800</v>
      </c>
      <c r="K37" s="7"/>
    </row>
    <row r="38" spans="1:11" ht="20.100000000000001" customHeight="1">
      <c r="A38" s="5" t="s">
        <v>81</v>
      </c>
      <c r="B38" s="6" t="s">
        <v>82</v>
      </c>
      <c r="C38" s="6"/>
      <c r="D38" s="7" t="s">
        <v>20</v>
      </c>
      <c r="E38" s="28">
        <f>E39</f>
        <v>0</v>
      </c>
      <c r="F38" s="28">
        <f>F39</f>
        <v>0</v>
      </c>
      <c r="G38" s="28">
        <f>G39</f>
        <v>0</v>
      </c>
      <c r="H38" s="28">
        <f>H39</f>
        <v>0</v>
      </c>
      <c r="I38" s="28">
        <f>I39</f>
        <v>0</v>
      </c>
      <c r="J38" s="28">
        <f t="shared" si="0"/>
        <v>0</v>
      </c>
      <c r="K38" s="7"/>
    </row>
    <row r="39" spans="1:11" ht="20.100000000000001" customHeight="1">
      <c r="A39" s="5" t="s">
        <v>83</v>
      </c>
      <c r="B39" s="6" t="s">
        <v>200</v>
      </c>
      <c r="C39" s="6" t="s">
        <v>27</v>
      </c>
      <c r="D39" s="7" t="s">
        <v>84</v>
      </c>
      <c r="E39" s="34">
        <v>0</v>
      </c>
      <c r="F39" s="34"/>
      <c r="G39" s="34"/>
      <c r="H39" s="34"/>
      <c r="I39" s="34"/>
      <c r="J39" s="28">
        <f t="shared" si="0"/>
        <v>0</v>
      </c>
      <c r="K39" s="7"/>
    </row>
    <row r="40" spans="1:11" ht="20.100000000000001" customHeight="1">
      <c r="A40" s="5" t="s">
        <v>85</v>
      </c>
      <c r="B40" s="6" t="s">
        <v>86</v>
      </c>
      <c r="C40" s="6"/>
      <c r="D40" s="7" t="s">
        <v>20</v>
      </c>
      <c r="E40" s="28">
        <f>E41+E43+E45+E47+E49+E52+E54+E56+E60</f>
        <v>2375698.14</v>
      </c>
      <c r="F40" s="28">
        <f>F41+F43+F45+F47+F49+F52+F54+F56+F60</f>
        <v>2306222.14</v>
      </c>
      <c r="G40" s="28">
        <f>G41+G43+G45+G47+G49+G52+G54+G56+G60</f>
        <v>3094500.04</v>
      </c>
      <c r="H40" s="28">
        <f>H41+H43+H45+H47+H49+H52+H54+H56+H60</f>
        <v>317605.14</v>
      </c>
      <c r="I40" s="28">
        <f>I41+I43+I45+I47+I49+I52+I54+I56+I60</f>
        <v>8538426.8699999992</v>
      </c>
      <c r="J40" s="28">
        <f t="shared" si="0"/>
        <v>16632452.329999998</v>
      </c>
      <c r="K40" s="7"/>
    </row>
    <row r="41" spans="1:11" ht="20.100000000000001" customHeight="1">
      <c r="A41" s="5" t="s">
        <v>87</v>
      </c>
      <c r="B41" s="6" t="s">
        <v>88</v>
      </c>
      <c r="C41" s="6"/>
      <c r="D41" s="7" t="s">
        <v>89</v>
      </c>
      <c r="E41" s="34">
        <v>1787500</v>
      </c>
      <c r="F41" s="34">
        <v>1716000</v>
      </c>
      <c r="G41" s="34">
        <v>2255000</v>
      </c>
      <c r="H41" s="34">
        <v>134400</v>
      </c>
      <c r="I41" s="34">
        <v>6267800</v>
      </c>
      <c r="J41" s="28">
        <f t="shared" si="0"/>
        <v>12160700</v>
      </c>
      <c r="K41" s="7"/>
    </row>
    <row r="42" spans="1:11" ht="20.100000000000001" customHeight="1">
      <c r="A42" s="5" t="s">
        <v>90</v>
      </c>
      <c r="B42" s="6" t="s">
        <v>201</v>
      </c>
      <c r="C42" s="6" t="s">
        <v>27</v>
      </c>
      <c r="D42" s="11" t="s">
        <v>202</v>
      </c>
      <c r="E42" s="34">
        <v>62062</v>
      </c>
      <c r="F42" s="34">
        <v>56771</v>
      </c>
      <c r="G42" s="34">
        <v>86366</v>
      </c>
      <c r="H42" s="34">
        <v>6720</v>
      </c>
      <c r="I42" s="34">
        <v>313390</v>
      </c>
      <c r="J42" s="28">
        <f t="shared" si="0"/>
        <v>525309</v>
      </c>
      <c r="K42" s="7"/>
    </row>
    <row r="43" spans="1:11" ht="20.100000000000001" customHeight="1">
      <c r="A43" s="5" t="s">
        <v>91</v>
      </c>
      <c r="B43" s="6" t="s">
        <v>92</v>
      </c>
      <c r="C43" s="6"/>
      <c r="D43" s="7"/>
      <c r="E43" s="28">
        <f>E44</f>
        <v>18400</v>
      </c>
      <c r="F43" s="28">
        <f>F44</f>
        <v>12400</v>
      </c>
      <c r="G43" s="28">
        <f>G44</f>
        <v>24800</v>
      </c>
      <c r="H43" s="28">
        <f>H44</f>
        <v>2400</v>
      </c>
      <c r="I43" s="28">
        <f>I44</f>
        <v>48400</v>
      </c>
      <c r="J43" s="28">
        <f t="shared" si="0"/>
        <v>106400</v>
      </c>
      <c r="K43" s="7"/>
    </row>
    <row r="44" spans="1:11" ht="20.100000000000001" customHeight="1">
      <c r="A44" s="5" t="s">
        <v>93</v>
      </c>
      <c r="B44" s="6" t="s">
        <v>94</v>
      </c>
      <c r="C44" s="6" t="s">
        <v>27</v>
      </c>
      <c r="D44" s="11" t="s">
        <v>95</v>
      </c>
      <c r="E44" s="28">
        <f>E63*400</f>
        <v>18400</v>
      </c>
      <c r="F44" s="28">
        <f>F63*400</f>
        <v>12400</v>
      </c>
      <c r="G44" s="28">
        <f>G63*400</f>
        <v>24800</v>
      </c>
      <c r="H44" s="28">
        <f>H63*400</f>
        <v>2400</v>
      </c>
      <c r="I44" s="28">
        <f>I63*400</f>
        <v>48400</v>
      </c>
      <c r="J44" s="28">
        <f t="shared" si="0"/>
        <v>106400</v>
      </c>
      <c r="K44" s="7"/>
    </row>
    <row r="45" spans="1:11" ht="20.100000000000001" customHeight="1">
      <c r="A45" s="5" t="s">
        <v>96</v>
      </c>
      <c r="B45" s="6" t="s">
        <v>97</v>
      </c>
      <c r="C45" s="6"/>
      <c r="D45" s="7" t="s">
        <v>20</v>
      </c>
      <c r="E45" s="28">
        <f>E46</f>
        <v>102155.85</v>
      </c>
      <c r="F45" s="28">
        <f>F46</f>
        <v>223595.84999999998</v>
      </c>
      <c r="G45" s="28">
        <f>G46</f>
        <v>133698.9</v>
      </c>
      <c r="H45" s="28">
        <f>H46</f>
        <v>54900</v>
      </c>
      <c r="I45" s="28">
        <f>I46</f>
        <v>424758.30000000005</v>
      </c>
      <c r="J45" s="28">
        <f t="shared" si="0"/>
        <v>939108.9</v>
      </c>
      <c r="K45" s="7"/>
    </row>
    <row r="46" spans="1:11" ht="20.100000000000001" customHeight="1">
      <c r="A46" s="5" t="s">
        <v>98</v>
      </c>
      <c r="B46" s="6" t="s">
        <v>99</v>
      </c>
      <c r="C46" s="6" t="s">
        <v>27</v>
      </c>
      <c r="D46" s="11" t="s">
        <v>100</v>
      </c>
      <c r="E46" s="28">
        <f>E74*15</f>
        <v>102155.85</v>
      </c>
      <c r="F46" s="28">
        <f>F74*15</f>
        <v>223595.84999999998</v>
      </c>
      <c r="G46" s="28">
        <f>G74*15</f>
        <v>133698.9</v>
      </c>
      <c r="H46" s="28">
        <f>H74*15</f>
        <v>54900</v>
      </c>
      <c r="I46" s="28">
        <f>I74*15</f>
        <v>424758.30000000005</v>
      </c>
      <c r="J46" s="28">
        <f t="shared" si="0"/>
        <v>939108.9</v>
      </c>
      <c r="K46" s="7"/>
    </row>
    <row r="47" spans="1:11" ht="20.100000000000001" customHeight="1">
      <c r="A47" s="5" t="s">
        <v>101</v>
      </c>
      <c r="B47" s="6" t="s">
        <v>102</v>
      </c>
      <c r="C47" s="6"/>
      <c r="D47" s="7" t="s">
        <v>20</v>
      </c>
      <c r="E47" s="28">
        <f>E48</f>
        <v>26976</v>
      </c>
      <c r="F47" s="28">
        <f>F48</f>
        <v>52576</v>
      </c>
      <c r="G47" s="28">
        <f>G48</f>
        <v>26120</v>
      </c>
      <c r="H47" s="28">
        <f>H48</f>
        <v>21600</v>
      </c>
      <c r="I47" s="28">
        <f>I48</f>
        <v>119152</v>
      </c>
      <c r="J47" s="28">
        <f t="shared" si="0"/>
        <v>246424</v>
      </c>
      <c r="K47" s="7"/>
    </row>
    <row r="48" spans="1:11" ht="20.100000000000001" customHeight="1">
      <c r="A48" s="5" t="s">
        <v>103</v>
      </c>
      <c r="B48" s="6" t="s">
        <v>104</v>
      </c>
      <c r="C48" s="6" t="s">
        <v>27</v>
      </c>
      <c r="D48" s="11" t="s">
        <v>105</v>
      </c>
      <c r="E48" s="28">
        <f>E75*8</f>
        <v>26976</v>
      </c>
      <c r="F48" s="28">
        <f>F75*8</f>
        <v>52576</v>
      </c>
      <c r="G48" s="28">
        <f>G75*8</f>
        <v>26120</v>
      </c>
      <c r="H48" s="28">
        <f>H75*8</f>
        <v>21600</v>
      </c>
      <c r="I48" s="28">
        <f>I75*8</f>
        <v>119152</v>
      </c>
      <c r="J48" s="28">
        <f t="shared" si="0"/>
        <v>246424</v>
      </c>
      <c r="K48" s="7"/>
    </row>
    <row r="49" spans="1:11" ht="20.100000000000001" customHeight="1">
      <c r="A49" s="5" t="s">
        <v>106</v>
      </c>
      <c r="B49" s="6" t="s">
        <v>203</v>
      </c>
      <c r="C49" s="6"/>
      <c r="D49" s="7" t="s">
        <v>20</v>
      </c>
      <c r="E49" s="28">
        <f>E50+E51</f>
        <v>207360</v>
      </c>
      <c r="F49" s="28">
        <f>F50+F51</f>
        <v>133920</v>
      </c>
      <c r="G49" s="28">
        <f>G50+G51</f>
        <v>328320</v>
      </c>
      <c r="H49" s="28">
        <f>H50+H51</f>
        <v>38880</v>
      </c>
      <c r="I49" s="28">
        <f>I50+I51</f>
        <v>980640</v>
      </c>
      <c r="J49" s="28">
        <f t="shared" si="0"/>
        <v>1689120</v>
      </c>
      <c r="K49" s="7"/>
    </row>
    <row r="50" spans="1:11" ht="20.100000000000001" customHeight="1">
      <c r="A50" s="5" t="s">
        <v>107</v>
      </c>
      <c r="B50" s="6" t="s">
        <v>204</v>
      </c>
      <c r="C50" s="6" t="s">
        <v>27</v>
      </c>
      <c r="D50" s="11" t="s">
        <v>108</v>
      </c>
      <c r="E50" s="28">
        <f>E63*4320</f>
        <v>198720</v>
      </c>
      <c r="F50" s="28">
        <f>F63*4320</f>
        <v>133920</v>
      </c>
      <c r="G50" s="28">
        <f>G63*4320</f>
        <v>267840</v>
      </c>
      <c r="H50" s="28">
        <f>H63*4320</f>
        <v>25920</v>
      </c>
      <c r="I50" s="28">
        <f>I63*4320</f>
        <v>522720</v>
      </c>
      <c r="J50" s="28">
        <f t="shared" si="0"/>
        <v>1149120</v>
      </c>
      <c r="K50" s="7"/>
    </row>
    <row r="51" spans="1:11" ht="20.100000000000001" customHeight="1">
      <c r="A51" s="5" t="s">
        <v>109</v>
      </c>
      <c r="B51" s="6" t="s">
        <v>205</v>
      </c>
      <c r="C51" s="6" t="s">
        <v>27</v>
      </c>
      <c r="D51" s="11" t="s">
        <v>206</v>
      </c>
      <c r="E51" s="28">
        <f>E73*4320</f>
        <v>8640</v>
      </c>
      <c r="F51" s="28">
        <f>F73*4320</f>
        <v>0</v>
      </c>
      <c r="G51" s="28">
        <f>G73*4320</f>
        <v>60480</v>
      </c>
      <c r="H51" s="28">
        <f>H73*4320</f>
        <v>12960</v>
      </c>
      <c r="I51" s="28">
        <f>I73*4320</f>
        <v>457920</v>
      </c>
      <c r="J51" s="28">
        <f t="shared" si="0"/>
        <v>540000</v>
      </c>
      <c r="K51" s="7"/>
    </row>
    <row r="52" spans="1:11" ht="20.100000000000001" customHeight="1">
      <c r="A52" s="5" t="s">
        <v>110</v>
      </c>
      <c r="B52" s="6" t="s">
        <v>207</v>
      </c>
      <c r="C52" s="6"/>
      <c r="D52" s="7" t="s">
        <v>20</v>
      </c>
      <c r="E52" s="28">
        <f>E53</f>
        <v>196906.29</v>
      </c>
      <c r="F52" s="28">
        <f>F53</f>
        <v>133330.29</v>
      </c>
      <c r="G52" s="28">
        <f>G53</f>
        <v>277961.14</v>
      </c>
      <c r="H52" s="28">
        <f>H53</f>
        <v>32225.14</v>
      </c>
      <c r="I52" s="28">
        <f>I53</f>
        <v>619676.56999999995</v>
      </c>
      <c r="J52" s="28">
        <f t="shared" si="0"/>
        <v>1260099.43</v>
      </c>
      <c r="K52" s="7"/>
    </row>
    <row r="53" spans="1:11" ht="20.100000000000001" customHeight="1">
      <c r="A53" s="5" t="s">
        <v>111</v>
      </c>
      <c r="B53" s="6" t="s">
        <v>112</v>
      </c>
      <c r="C53" s="6" t="s">
        <v>27</v>
      </c>
      <c r="D53" s="7" t="s">
        <v>42</v>
      </c>
      <c r="E53" s="28">
        <f>ROUND(E31/0.07*0.02,2)</f>
        <v>196906.29</v>
      </c>
      <c r="F53" s="28">
        <f>ROUND(F31/0.07*0.02,2)</f>
        <v>133330.29</v>
      </c>
      <c r="G53" s="28">
        <f>ROUND(G31/0.07*0.02,2)</f>
        <v>277961.14</v>
      </c>
      <c r="H53" s="28">
        <f>ROUND(H31/0.07*0.02,2)</f>
        <v>32225.14</v>
      </c>
      <c r="I53" s="28">
        <f>ROUND(I31/0.07*0.02,2)</f>
        <v>619676.56999999995</v>
      </c>
      <c r="J53" s="28">
        <f t="shared" si="0"/>
        <v>1260099.43</v>
      </c>
      <c r="K53" s="7"/>
    </row>
    <row r="54" spans="1:11" ht="20.100000000000001" customHeight="1">
      <c r="A54" s="5" t="s">
        <v>113</v>
      </c>
      <c r="B54" s="6" t="s">
        <v>208</v>
      </c>
      <c r="C54" s="6"/>
      <c r="D54" s="7" t="s">
        <v>20</v>
      </c>
      <c r="E54" s="28">
        <f>E55</f>
        <v>0</v>
      </c>
      <c r="F54" s="28">
        <f>F55</f>
        <v>0</v>
      </c>
      <c r="G54" s="28">
        <f>G55</f>
        <v>32000</v>
      </c>
      <c r="H54" s="28">
        <f>H55</f>
        <v>0</v>
      </c>
      <c r="I54" s="28">
        <f>I55</f>
        <v>32000</v>
      </c>
      <c r="J54" s="28">
        <f t="shared" si="0"/>
        <v>64000</v>
      </c>
      <c r="K54" s="7"/>
    </row>
    <row r="55" spans="1:11" ht="20.100000000000001" customHeight="1">
      <c r="A55" s="5" t="s">
        <v>114</v>
      </c>
      <c r="B55" s="6" t="s">
        <v>115</v>
      </c>
      <c r="C55" s="6" t="s">
        <v>27</v>
      </c>
      <c r="D55" s="11" t="s">
        <v>209</v>
      </c>
      <c r="E55" s="34"/>
      <c r="F55" s="34"/>
      <c r="G55" s="34">
        <v>32000</v>
      </c>
      <c r="H55" s="34"/>
      <c r="I55" s="34">
        <v>32000</v>
      </c>
      <c r="J55" s="28">
        <f t="shared" si="0"/>
        <v>64000</v>
      </c>
      <c r="K55" s="7"/>
    </row>
    <row r="56" spans="1:11" ht="20.100000000000001" customHeight="1">
      <c r="A56" s="5" t="s">
        <v>116</v>
      </c>
      <c r="B56" s="6" t="s">
        <v>210</v>
      </c>
      <c r="C56" s="6"/>
      <c r="D56" s="7" t="s">
        <v>20</v>
      </c>
      <c r="E56" s="28">
        <f>E57+E59</f>
        <v>4400</v>
      </c>
      <c r="F56" s="28">
        <f>F57+F59</f>
        <v>2400</v>
      </c>
      <c r="G56" s="28">
        <f>G57+G59</f>
        <v>6600</v>
      </c>
      <c r="H56" s="28">
        <f>H57+H59</f>
        <v>1200</v>
      </c>
      <c r="I56" s="28">
        <f>I57+I59</f>
        <v>46000</v>
      </c>
      <c r="J56" s="28">
        <f t="shared" si="0"/>
        <v>60600</v>
      </c>
      <c r="K56" s="7"/>
    </row>
    <row r="57" spans="1:11" ht="20.100000000000001" customHeight="1">
      <c r="A57" s="5" t="s">
        <v>117</v>
      </c>
      <c r="B57" s="6" t="s">
        <v>211</v>
      </c>
      <c r="C57" s="6" t="s">
        <v>27</v>
      </c>
      <c r="D57" s="7" t="s">
        <v>20</v>
      </c>
      <c r="E57" s="28">
        <f>E58</f>
        <v>800</v>
      </c>
      <c r="F57" s="28">
        <f>F58</f>
        <v>0</v>
      </c>
      <c r="G57" s="28">
        <f>G58</f>
        <v>5600</v>
      </c>
      <c r="H57" s="28">
        <f>H58</f>
        <v>1200</v>
      </c>
      <c r="I57" s="28">
        <f>I58</f>
        <v>42400</v>
      </c>
      <c r="J57" s="28">
        <f t="shared" si="0"/>
        <v>50000</v>
      </c>
      <c r="K57" s="7"/>
    </row>
    <row r="58" spans="1:11" ht="20.100000000000001" customHeight="1">
      <c r="A58" s="5" t="s">
        <v>118</v>
      </c>
      <c r="B58" s="6" t="s">
        <v>119</v>
      </c>
      <c r="C58" s="6" t="s">
        <v>27</v>
      </c>
      <c r="D58" s="11" t="s">
        <v>212</v>
      </c>
      <c r="E58" s="28">
        <f>E73*400</f>
        <v>800</v>
      </c>
      <c r="F58" s="28">
        <f>F73*400</f>
        <v>0</v>
      </c>
      <c r="G58" s="28">
        <f>G73*400</f>
        <v>5600</v>
      </c>
      <c r="H58" s="28">
        <f>H73*400</f>
        <v>1200</v>
      </c>
      <c r="I58" s="28">
        <f>I73*400</f>
        <v>42400</v>
      </c>
      <c r="J58" s="28">
        <f t="shared" si="0"/>
        <v>50000</v>
      </c>
      <c r="K58" s="7"/>
    </row>
    <row r="59" spans="1:11" ht="20.100000000000001" customHeight="1">
      <c r="A59" s="5" t="s">
        <v>120</v>
      </c>
      <c r="B59" s="6" t="s">
        <v>213</v>
      </c>
      <c r="C59" s="6" t="s">
        <v>27</v>
      </c>
      <c r="D59" s="11" t="s">
        <v>121</v>
      </c>
      <c r="E59" s="34">
        <v>3600</v>
      </c>
      <c r="F59" s="34">
        <v>2400</v>
      </c>
      <c r="G59" s="34">
        <v>1000</v>
      </c>
      <c r="H59" s="34"/>
      <c r="I59" s="34">
        <v>3600</v>
      </c>
      <c r="J59" s="28">
        <f t="shared" si="0"/>
        <v>10600</v>
      </c>
      <c r="K59" s="7"/>
    </row>
    <row r="60" spans="1:11" ht="20.100000000000001" customHeight="1">
      <c r="A60" s="5" t="s">
        <v>122</v>
      </c>
      <c r="B60" s="6" t="s">
        <v>214</v>
      </c>
      <c r="C60" s="6"/>
      <c r="D60" s="7" t="s">
        <v>20</v>
      </c>
      <c r="E60" s="28">
        <f>E61</f>
        <v>32000</v>
      </c>
      <c r="F60" s="28">
        <f>F61</f>
        <v>32000</v>
      </c>
      <c r="G60" s="28">
        <f>G61</f>
        <v>10000</v>
      </c>
      <c r="H60" s="28">
        <f>H61</f>
        <v>32000</v>
      </c>
      <c r="I60" s="28">
        <f>I61</f>
        <v>0</v>
      </c>
      <c r="J60" s="28">
        <f t="shared" si="0"/>
        <v>106000</v>
      </c>
      <c r="K60" s="7"/>
    </row>
    <row r="61" spans="1:11" ht="20.100000000000001" customHeight="1" thickBot="1">
      <c r="A61" s="5" t="s">
        <v>123</v>
      </c>
      <c r="B61" s="13" t="s">
        <v>124</v>
      </c>
      <c r="C61" s="6" t="s">
        <v>27</v>
      </c>
      <c r="D61" s="14" t="s">
        <v>215</v>
      </c>
      <c r="E61" s="35">
        <v>32000</v>
      </c>
      <c r="F61" s="35">
        <v>32000</v>
      </c>
      <c r="G61" s="35">
        <v>10000</v>
      </c>
      <c r="H61" s="35">
        <v>32000</v>
      </c>
      <c r="I61" s="35"/>
      <c r="J61" s="28">
        <f t="shared" si="0"/>
        <v>106000</v>
      </c>
      <c r="K61" s="15"/>
    </row>
    <row r="62" spans="1:11" ht="20.100000000000001" customHeight="1" thickTop="1">
      <c r="A62" s="5" t="s">
        <v>125</v>
      </c>
      <c r="B62" s="16" t="s">
        <v>126</v>
      </c>
      <c r="C62" s="16"/>
      <c r="D62" s="17"/>
      <c r="E62" s="36"/>
      <c r="F62" s="36"/>
      <c r="G62" s="36"/>
      <c r="H62" s="36"/>
      <c r="I62" s="36"/>
      <c r="J62" s="28">
        <f t="shared" si="0"/>
        <v>0</v>
      </c>
      <c r="K62" s="19"/>
    </row>
    <row r="63" spans="1:11" ht="20.100000000000001" customHeight="1">
      <c r="A63" s="5" t="s">
        <v>127</v>
      </c>
      <c r="B63" s="6" t="s">
        <v>128</v>
      </c>
      <c r="C63" s="6"/>
      <c r="D63" s="7" t="s">
        <v>216</v>
      </c>
      <c r="E63" s="28">
        <f>E64+E65+E66+E67</f>
        <v>46</v>
      </c>
      <c r="F63" s="28">
        <f>F64+F65+F66+F67</f>
        <v>31</v>
      </c>
      <c r="G63" s="28">
        <f>G64+G65+G66+G67</f>
        <v>62</v>
      </c>
      <c r="H63" s="28">
        <f>H64+H65+H66+H67</f>
        <v>6</v>
      </c>
      <c r="I63" s="28">
        <f>I64+I65+I66+I67</f>
        <v>121</v>
      </c>
      <c r="J63" s="28">
        <f t="shared" si="0"/>
        <v>266</v>
      </c>
      <c r="K63" s="7"/>
    </row>
    <row r="64" spans="1:11" ht="20.100000000000001" customHeight="1">
      <c r="A64" s="5" t="s">
        <v>129</v>
      </c>
      <c r="B64" s="20" t="s">
        <v>130</v>
      </c>
      <c r="C64" s="20"/>
      <c r="D64" s="7"/>
      <c r="E64" s="34"/>
      <c r="F64" s="34"/>
      <c r="G64" s="34"/>
      <c r="H64" s="34"/>
      <c r="I64" s="34">
        <v>61</v>
      </c>
      <c r="J64" s="28">
        <f t="shared" si="0"/>
        <v>61</v>
      </c>
      <c r="K64" s="7"/>
    </row>
    <row r="65" spans="1:11" ht="20.100000000000001" customHeight="1">
      <c r="A65" s="5" t="s">
        <v>131</v>
      </c>
      <c r="B65" s="20" t="s">
        <v>132</v>
      </c>
      <c r="C65" s="20"/>
      <c r="D65" s="7"/>
      <c r="E65" s="34"/>
      <c r="F65" s="34"/>
      <c r="G65" s="34"/>
      <c r="H65" s="34"/>
      <c r="I65" s="34">
        <v>60</v>
      </c>
      <c r="J65" s="28">
        <f t="shared" si="0"/>
        <v>60</v>
      </c>
      <c r="K65" s="7"/>
    </row>
    <row r="66" spans="1:11" ht="20.100000000000001" customHeight="1">
      <c r="A66" s="5" t="s">
        <v>133</v>
      </c>
      <c r="B66" s="20" t="s">
        <v>134</v>
      </c>
      <c r="C66" s="20"/>
      <c r="D66" s="7"/>
      <c r="E66" s="34">
        <v>46</v>
      </c>
      <c r="F66" s="34">
        <v>31</v>
      </c>
      <c r="G66" s="34">
        <v>62</v>
      </c>
      <c r="H66" s="34"/>
      <c r="I66" s="34"/>
      <c r="J66" s="28">
        <f t="shared" si="0"/>
        <v>139</v>
      </c>
      <c r="K66" s="7"/>
    </row>
    <row r="67" spans="1:11" ht="20.100000000000001" customHeight="1">
      <c r="A67" s="5" t="s">
        <v>135</v>
      </c>
      <c r="B67" s="20" t="s">
        <v>136</v>
      </c>
      <c r="C67" s="20"/>
      <c r="D67" s="7"/>
      <c r="E67" s="34"/>
      <c r="F67" s="34"/>
      <c r="G67" s="34"/>
      <c r="H67" s="34">
        <v>6</v>
      </c>
      <c r="I67" s="34"/>
      <c r="J67" s="28">
        <f t="shared" si="0"/>
        <v>6</v>
      </c>
      <c r="K67" s="7"/>
    </row>
    <row r="68" spans="1:11" ht="20.100000000000001" customHeight="1">
      <c r="A68" s="5" t="s">
        <v>137</v>
      </c>
      <c r="B68" s="6" t="s">
        <v>138</v>
      </c>
      <c r="C68" s="6"/>
      <c r="D68" s="7" t="s">
        <v>217</v>
      </c>
      <c r="E68" s="28">
        <f>E69+E70+E71+E72</f>
        <v>434</v>
      </c>
      <c r="F68" s="28">
        <f>F69+F70+F71+F72</f>
        <v>397</v>
      </c>
      <c r="G68" s="28">
        <f>G69+G70+G71+G72</f>
        <v>572</v>
      </c>
      <c r="H68" s="28">
        <f>H69+H70+H71+H72</f>
        <v>0</v>
      </c>
      <c r="I68" s="28">
        <f>I69+I70+I71+I72</f>
        <v>1756</v>
      </c>
      <c r="J68" s="28">
        <f t="shared" si="0"/>
        <v>3159</v>
      </c>
      <c r="K68" s="7"/>
    </row>
    <row r="69" spans="1:11" ht="20.100000000000001" customHeight="1">
      <c r="A69" s="5" t="s">
        <v>139</v>
      </c>
      <c r="B69" s="20" t="s">
        <v>130</v>
      </c>
      <c r="C69" s="20"/>
      <c r="D69" s="7"/>
      <c r="E69" s="34"/>
      <c r="F69" s="34"/>
      <c r="G69" s="34"/>
      <c r="H69" s="34"/>
      <c r="I69" s="34">
        <v>986</v>
      </c>
      <c r="J69" s="28">
        <f t="shared" ref="J69:J75" si="1">SUM(E69:I69)</f>
        <v>986</v>
      </c>
      <c r="K69" s="7"/>
    </row>
    <row r="70" spans="1:11" ht="20.100000000000001" customHeight="1">
      <c r="A70" s="5" t="s">
        <v>140</v>
      </c>
      <c r="B70" s="20" t="s">
        <v>132</v>
      </c>
      <c r="C70" s="20"/>
      <c r="D70" s="7"/>
      <c r="E70" s="34"/>
      <c r="F70" s="34"/>
      <c r="G70" s="34"/>
      <c r="H70" s="34"/>
      <c r="I70" s="34">
        <v>770</v>
      </c>
      <c r="J70" s="28">
        <f t="shared" si="1"/>
        <v>770</v>
      </c>
      <c r="K70" s="7"/>
    </row>
    <row r="71" spans="1:11" ht="20.100000000000001" customHeight="1">
      <c r="A71" s="5" t="s">
        <v>141</v>
      </c>
      <c r="B71" s="20" t="s">
        <v>134</v>
      </c>
      <c r="C71" s="20"/>
      <c r="D71" s="7"/>
      <c r="E71" s="34">
        <v>434</v>
      </c>
      <c r="F71" s="34">
        <v>397</v>
      </c>
      <c r="G71" s="34">
        <v>572</v>
      </c>
      <c r="H71" s="34"/>
      <c r="I71" s="34"/>
      <c r="J71" s="28">
        <f t="shared" si="1"/>
        <v>1403</v>
      </c>
      <c r="K71" s="7"/>
    </row>
    <row r="72" spans="1:11" ht="20.100000000000001" customHeight="1">
      <c r="A72" s="5" t="s">
        <v>142</v>
      </c>
      <c r="B72" s="20" t="s">
        <v>136</v>
      </c>
      <c r="C72" s="20"/>
      <c r="D72" s="7"/>
      <c r="E72" s="34"/>
      <c r="F72" s="34"/>
      <c r="G72" s="34"/>
      <c r="H72" s="34"/>
      <c r="I72" s="34"/>
      <c r="J72" s="28">
        <f t="shared" si="1"/>
        <v>0</v>
      </c>
      <c r="K72" s="7"/>
    </row>
    <row r="73" spans="1:11" ht="20.100000000000001" customHeight="1">
      <c r="A73" s="5" t="s">
        <v>143</v>
      </c>
      <c r="B73" s="6" t="s">
        <v>218</v>
      </c>
      <c r="C73" s="6"/>
      <c r="D73" s="7"/>
      <c r="E73" s="34">
        <v>2</v>
      </c>
      <c r="F73" s="34"/>
      <c r="G73" s="34">
        <v>14</v>
      </c>
      <c r="H73" s="34">
        <v>3</v>
      </c>
      <c r="I73" s="34">
        <v>106</v>
      </c>
      <c r="J73" s="28">
        <f t="shared" si="1"/>
        <v>125</v>
      </c>
      <c r="K73" s="7"/>
    </row>
    <row r="74" spans="1:11" ht="20.100000000000001" customHeight="1">
      <c r="A74" s="5" t="s">
        <v>144</v>
      </c>
      <c r="B74" s="20" t="s">
        <v>219</v>
      </c>
      <c r="C74" s="20"/>
      <c r="D74" s="11"/>
      <c r="E74" s="34">
        <v>6810.39</v>
      </c>
      <c r="F74" s="34">
        <v>14906.39</v>
      </c>
      <c r="G74" s="34">
        <v>8913.26</v>
      </c>
      <c r="H74" s="34">
        <v>3660</v>
      </c>
      <c r="I74" s="34">
        <v>28317.22</v>
      </c>
      <c r="J74" s="28">
        <f t="shared" si="1"/>
        <v>62607.26</v>
      </c>
      <c r="K74" s="7"/>
    </row>
    <row r="75" spans="1:11" ht="20.100000000000001" customHeight="1">
      <c r="A75" s="5" t="s">
        <v>145</v>
      </c>
      <c r="B75" s="20" t="s">
        <v>220</v>
      </c>
      <c r="C75" s="20"/>
      <c r="D75" s="11"/>
      <c r="E75" s="34">
        <v>3372</v>
      </c>
      <c r="F75" s="34">
        <v>6572</v>
      </c>
      <c r="G75" s="34">
        <v>3265</v>
      </c>
      <c r="H75" s="34">
        <v>2700</v>
      </c>
      <c r="I75" s="34">
        <v>14894</v>
      </c>
      <c r="J75" s="28">
        <f t="shared" si="1"/>
        <v>30803</v>
      </c>
      <c r="K75" s="7"/>
    </row>
  </sheetData>
  <protectedRanges>
    <protectedRange password="E9C1" sqref="D31 C32 A6:D7 B8:D30 B33:D75 J6:K75 A8:A75 A3:K5" name="区域1_1"/>
    <protectedRange password="E9C1" sqref="B31:C31 B32" name="区域1_1_1"/>
    <protectedRange password="E9C1" sqref="D32" name="区域1_2"/>
  </protectedRanges>
  <mergeCells count="8">
    <mergeCell ref="A1:K1"/>
    <mergeCell ref="A3:A4"/>
    <mergeCell ref="B3:B4"/>
    <mergeCell ref="C3:C4"/>
    <mergeCell ref="D3:D4"/>
    <mergeCell ref="J3:J4"/>
    <mergeCell ref="K3:K4"/>
    <mergeCell ref="A2:K2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95" orientation="landscape" r:id="rId1"/>
  <headerFooter>
    <oddFooter>第 &amp;P 页，共 &amp;N 页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J74"/>
  <sheetViews>
    <sheetView workbookViewId="0">
      <selection activeCell="B24" sqref="B24"/>
    </sheetView>
  </sheetViews>
  <sheetFormatPr defaultRowHeight="11.25"/>
  <cols>
    <col min="1" max="1" width="9" style="21"/>
    <col min="2" max="2" width="20" style="3" customWidth="1"/>
    <col min="3" max="3" width="9" style="3"/>
    <col min="4" max="4" width="9" style="22"/>
    <col min="5" max="5" width="10.875" style="3" customWidth="1"/>
    <col min="6" max="6" width="10.5" style="3" customWidth="1"/>
    <col min="7" max="7" width="11" style="3" customWidth="1"/>
    <col min="8" max="8" width="9" style="3"/>
    <col min="9" max="9" width="11.25" style="3" customWidth="1"/>
    <col min="10" max="16384" width="9" style="3"/>
  </cols>
  <sheetData>
    <row r="1" spans="1:10" ht="25.5">
      <c r="A1" s="92" t="s">
        <v>168</v>
      </c>
      <c r="B1" s="92"/>
      <c r="C1" s="92"/>
      <c r="D1" s="92"/>
      <c r="E1" s="92"/>
      <c r="F1" s="92"/>
      <c r="G1" s="92"/>
      <c r="H1" s="92"/>
      <c r="I1" s="92"/>
      <c r="J1" s="92"/>
    </row>
    <row r="2" spans="1:10" ht="33.75">
      <c r="A2" s="93" t="s">
        <v>1</v>
      </c>
      <c r="B2" s="93" t="s">
        <v>2</v>
      </c>
      <c r="C2" s="93" t="s">
        <v>3</v>
      </c>
      <c r="D2" s="93" t="s">
        <v>4</v>
      </c>
      <c r="E2" s="4" t="s">
        <v>237</v>
      </c>
      <c r="F2" s="4" t="s">
        <v>238</v>
      </c>
      <c r="G2" s="4" t="s">
        <v>239</v>
      </c>
      <c r="H2" s="4" t="s">
        <v>240</v>
      </c>
      <c r="I2" s="93" t="s">
        <v>16</v>
      </c>
      <c r="J2" s="93" t="s">
        <v>17</v>
      </c>
    </row>
    <row r="3" spans="1:10">
      <c r="A3" s="94"/>
      <c r="B3" s="94"/>
      <c r="C3" s="94"/>
      <c r="D3" s="94"/>
      <c r="E3" s="4" t="s">
        <v>336</v>
      </c>
      <c r="F3" s="4" t="s">
        <v>337</v>
      </c>
      <c r="G3" s="4" t="s">
        <v>337</v>
      </c>
      <c r="H3" s="4" t="s">
        <v>338</v>
      </c>
      <c r="I3" s="94"/>
      <c r="J3" s="94"/>
    </row>
    <row r="4" spans="1:10">
      <c r="A4" s="5" t="s">
        <v>18</v>
      </c>
      <c r="B4" s="6" t="s">
        <v>19</v>
      </c>
      <c r="C4" s="6"/>
      <c r="D4" s="7" t="s">
        <v>20</v>
      </c>
      <c r="E4" s="8">
        <f>E5+E32+E39</f>
        <v>30579544.079999998</v>
      </c>
      <c r="F4" s="8">
        <f>F5+F32+F39</f>
        <v>17662321.080000002</v>
      </c>
      <c r="G4" s="8">
        <f>G5+G32+G39</f>
        <v>747394.02</v>
      </c>
      <c r="H4" s="8">
        <f>H5+H32+H39</f>
        <v>1232194</v>
      </c>
      <c r="I4" s="8">
        <f t="shared" ref="I4:I67" si="0">SUM(E4:H4)</f>
        <v>50221453.18</v>
      </c>
      <c r="J4" s="7"/>
    </row>
    <row r="5" spans="1:10">
      <c r="A5" s="5" t="s">
        <v>21</v>
      </c>
      <c r="B5" s="6" t="s">
        <v>22</v>
      </c>
      <c r="C5" s="6"/>
      <c r="D5" s="7" t="s">
        <v>20</v>
      </c>
      <c r="E5" s="8">
        <f>E6+E9+E13+E16+E21+E26+E28+E30+E31</f>
        <v>24125936.149999999</v>
      </c>
      <c r="F5" s="8">
        <f>F6+F9+F13+F16+F21+F26+F28+F30+F31</f>
        <v>15059549.150000002</v>
      </c>
      <c r="G5" s="8">
        <f>G6+G9+G13+G16+G21+G26+G28+G30+G31</f>
        <v>345088.02</v>
      </c>
      <c r="H5" s="8">
        <f>H6+H9+H13+H16+H21+H26+H28+H30+H31</f>
        <v>1044978</v>
      </c>
      <c r="I5" s="8">
        <f t="shared" si="0"/>
        <v>40575551.32</v>
      </c>
      <c r="J5" s="7"/>
    </row>
    <row r="6" spans="1:10">
      <c r="A6" s="5" t="s">
        <v>23</v>
      </c>
      <c r="B6" s="6" t="s">
        <v>24</v>
      </c>
      <c r="C6" s="6"/>
      <c r="D6" s="7" t="s">
        <v>20</v>
      </c>
      <c r="E6" s="8">
        <f>E7+E8</f>
        <v>3849756</v>
      </c>
      <c r="F6" s="8">
        <f>F7+F8</f>
        <v>2460000</v>
      </c>
      <c r="G6" s="8">
        <f>G7+G8</f>
        <v>0</v>
      </c>
      <c r="H6" s="8">
        <f>H7+H8</f>
        <v>149868</v>
      </c>
      <c r="I6" s="8">
        <f t="shared" si="0"/>
        <v>6459624</v>
      </c>
      <c r="J6" s="7"/>
    </row>
    <row r="7" spans="1:10" ht="22.5">
      <c r="A7" s="5" t="s">
        <v>25</v>
      </c>
      <c r="B7" s="6" t="s">
        <v>26</v>
      </c>
      <c r="C7" s="6" t="s">
        <v>27</v>
      </c>
      <c r="D7" s="7" t="s">
        <v>28</v>
      </c>
      <c r="E7" s="9">
        <v>2022288</v>
      </c>
      <c r="F7" s="9">
        <v>1360000</v>
      </c>
      <c r="G7" s="9"/>
      <c r="H7" s="9">
        <v>63624</v>
      </c>
      <c r="I7" s="8">
        <f t="shared" si="0"/>
        <v>3445912</v>
      </c>
      <c r="J7" s="10"/>
    </row>
    <row r="8" spans="1:10" ht="22.5">
      <c r="A8" s="5" t="s">
        <v>29</v>
      </c>
      <c r="B8" s="6" t="s">
        <v>30</v>
      </c>
      <c r="C8" s="6" t="s">
        <v>27</v>
      </c>
      <c r="D8" s="7" t="s">
        <v>28</v>
      </c>
      <c r="E8" s="9">
        <v>1827468</v>
      </c>
      <c r="F8" s="9">
        <v>1100000</v>
      </c>
      <c r="G8" s="9"/>
      <c r="H8" s="9">
        <v>86244</v>
      </c>
      <c r="I8" s="8">
        <f t="shared" si="0"/>
        <v>3013712</v>
      </c>
      <c r="J8" s="7"/>
    </row>
    <row r="9" spans="1:10">
      <c r="A9" s="5" t="s">
        <v>31</v>
      </c>
      <c r="B9" s="6" t="s">
        <v>32</v>
      </c>
      <c r="C9" s="6"/>
      <c r="D9" s="7" t="s">
        <v>20</v>
      </c>
      <c r="E9" s="8">
        <f>E10+E11</f>
        <v>343272</v>
      </c>
      <c r="F9" s="8">
        <f>F10+F11</f>
        <v>241416</v>
      </c>
      <c r="G9" s="8">
        <f>G10+G11</f>
        <v>0</v>
      </c>
      <c r="H9" s="8">
        <f>H10+H11</f>
        <v>10800</v>
      </c>
      <c r="I9" s="8">
        <f t="shared" si="0"/>
        <v>595488</v>
      </c>
      <c r="J9" s="7"/>
    </row>
    <row r="10" spans="1:10" ht="22.5">
      <c r="A10" s="5" t="s">
        <v>33</v>
      </c>
      <c r="B10" s="6" t="s">
        <v>34</v>
      </c>
      <c r="C10" s="6" t="s">
        <v>27</v>
      </c>
      <c r="D10" s="7" t="s">
        <v>28</v>
      </c>
      <c r="E10" s="9">
        <v>5352</v>
      </c>
      <c r="F10" s="9">
        <v>3816</v>
      </c>
      <c r="G10" s="9"/>
      <c r="H10" s="9">
        <v>240</v>
      </c>
      <c r="I10" s="8">
        <f t="shared" si="0"/>
        <v>9408</v>
      </c>
      <c r="J10" s="7"/>
    </row>
    <row r="11" spans="1:10">
      <c r="A11" s="5" t="s">
        <v>35</v>
      </c>
      <c r="B11" s="6" t="s">
        <v>36</v>
      </c>
      <c r="C11" s="6"/>
      <c r="D11" s="7" t="s">
        <v>20</v>
      </c>
      <c r="E11" s="8">
        <f>E12</f>
        <v>337920</v>
      </c>
      <c r="F11" s="8">
        <f>F12</f>
        <v>237600</v>
      </c>
      <c r="G11" s="8">
        <f>G12</f>
        <v>0</v>
      </c>
      <c r="H11" s="8">
        <f>H12</f>
        <v>10560</v>
      </c>
      <c r="I11" s="8">
        <f t="shared" si="0"/>
        <v>586080</v>
      </c>
      <c r="J11" s="7"/>
    </row>
    <row r="12" spans="1:10">
      <c r="A12" s="5" t="s">
        <v>37</v>
      </c>
      <c r="B12" s="6" t="s">
        <v>188</v>
      </c>
      <c r="C12" s="6" t="s">
        <v>27</v>
      </c>
      <c r="D12" s="7" t="s">
        <v>20</v>
      </c>
      <c r="E12" s="8">
        <f>440*12*E62</f>
        <v>337920</v>
      </c>
      <c r="F12" s="8">
        <f>440*12*F62</f>
        <v>237600</v>
      </c>
      <c r="G12" s="8"/>
      <c r="H12" s="8">
        <f>440*12*H62</f>
        <v>10560</v>
      </c>
      <c r="I12" s="8">
        <f t="shared" si="0"/>
        <v>586080</v>
      </c>
      <c r="J12" s="7"/>
    </row>
    <row r="13" spans="1:10" ht="33.75">
      <c r="A13" s="5" t="s">
        <v>38</v>
      </c>
      <c r="B13" s="6" t="s">
        <v>39</v>
      </c>
      <c r="C13" s="6"/>
      <c r="D13" s="7" t="s">
        <v>40</v>
      </c>
      <c r="E13" s="8">
        <f>E14+E15</f>
        <v>165481.72</v>
      </c>
      <c r="F13" s="8">
        <f>F14+F15</f>
        <v>101953.72</v>
      </c>
      <c r="G13" s="8">
        <f>G14+G15</f>
        <v>8367.08</v>
      </c>
      <c r="H13" s="8">
        <f>H14+H15</f>
        <v>7118</v>
      </c>
      <c r="I13" s="8">
        <f t="shared" si="0"/>
        <v>282920.52</v>
      </c>
      <c r="J13" s="7"/>
    </row>
    <row r="14" spans="1:10" ht="22.5">
      <c r="A14" s="5" t="s">
        <v>41</v>
      </c>
      <c r="B14" s="6" t="s">
        <v>189</v>
      </c>
      <c r="C14" s="6" t="s">
        <v>27</v>
      </c>
      <c r="D14" s="7" t="s">
        <v>42</v>
      </c>
      <c r="E14" s="8">
        <f>ROUND(E30/0.07*0.005,2)</f>
        <v>82740.86</v>
      </c>
      <c r="F14" s="8">
        <f>ROUND(F30/0.07*0.005,2)</f>
        <v>50976.86</v>
      </c>
      <c r="G14" s="8">
        <v>3265.15</v>
      </c>
      <c r="H14" s="8">
        <f>ROUND(H30/0.07*0.005,2)</f>
        <v>3559</v>
      </c>
      <c r="I14" s="8">
        <f t="shared" si="0"/>
        <v>140541.87</v>
      </c>
      <c r="J14" s="7"/>
    </row>
    <row r="15" spans="1:10" ht="22.5">
      <c r="A15" s="5" t="s">
        <v>43</v>
      </c>
      <c r="B15" s="6" t="s">
        <v>190</v>
      </c>
      <c r="C15" s="6" t="s">
        <v>27</v>
      </c>
      <c r="D15" s="7" t="s">
        <v>42</v>
      </c>
      <c r="E15" s="8">
        <f>ROUND(E30/0.07*0.005,2)</f>
        <v>82740.86</v>
      </c>
      <c r="F15" s="8">
        <f>ROUND(F30/0.07*0.005,2)</f>
        <v>50976.86</v>
      </c>
      <c r="G15" s="8">
        <v>5101.93</v>
      </c>
      <c r="H15" s="8">
        <f>ROUND(H30/0.07*0.005,2)</f>
        <v>3559</v>
      </c>
      <c r="I15" s="8">
        <f t="shared" si="0"/>
        <v>142378.65</v>
      </c>
      <c r="J15" s="7"/>
    </row>
    <row r="16" spans="1:10">
      <c r="A16" s="5" t="s">
        <v>44</v>
      </c>
      <c r="B16" s="6" t="s">
        <v>45</v>
      </c>
      <c r="C16" s="6"/>
      <c r="D16" s="7" t="s">
        <v>20</v>
      </c>
      <c r="E16" s="8">
        <f>E17+E18+E19+E20</f>
        <v>12486231</v>
      </c>
      <c r="F16" s="8">
        <f>F17+F18+F19+F20</f>
        <v>7770216</v>
      </c>
      <c r="G16" s="8">
        <f>G17+G18+G19+G20</f>
        <v>0</v>
      </c>
      <c r="H16" s="8">
        <f>H17+H18+H19+H20</f>
        <v>564000</v>
      </c>
      <c r="I16" s="8">
        <f t="shared" si="0"/>
        <v>20820447</v>
      </c>
      <c r="J16" s="7"/>
    </row>
    <row r="17" spans="1:10" ht="22.5">
      <c r="A17" s="5" t="s">
        <v>46</v>
      </c>
      <c r="B17" s="6" t="s">
        <v>47</v>
      </c>
      <c r="C17" s="6" t="s">
        <v>27</v>
      </c>
      <c r="D17" s="7" t="s">
        <v>191</v>
      </c>
      <c r="E17" s="9">
        <v>11088000</v>
      </c>
      <c r="F17" s="9">
        <v>7216000</v>
      </c>
      <c r="G17" s="9"/>
      <c r="H17" s="9">
        <v>552000</v>
      </c>
      <c r="I17" s="8">
        <f t="shared" si="0"/>
        <v>18856000</v>
      </c>
      <c r="J17" s="7"/>
    </row>
    <row r="18" spans="1:10" ht="33.75">
      <c r="A18" s="5" t="s">
        <v>48</v>
      </c>
      <c r="B18" s="6" t="s">
        <v>49</v>
      </c>
      <c r="C18" s="6" t="s">
        <v>27</v>
      </c>
      <c r="D18" s="7" t="s">
        <v>50</v>
      </c>
      <c r="E18" s="9">
        <v>374231</v>
      </c>
      <c r="F18" s="9">
        <v>284216</v>
      </c>
      <c r="G18" s="9"/>
      <c r="H18" s="9"/>
      <c r="I18" s="8">
        <f t="shared" si="0"/>
        <v>658447</v>
      </c>
      <c r="J18" s="7"/>
    </row>
    <row r="19" spans="1:10">
      <c r="A19" s="5" t="s">
        <v>51</v>
      </c>
      <c r="B19" s="6" t="s">
        <v>192</v>
      </c>
      <c r="C19" s="6" t="s">
        <v>27</v>
      </c>
      <c r="D19" s="7" t="s">
        <v>20</v>
      </c>
      <c r="E19" s="8">
        <f>E62*500*12</f>
        <v>384000</v>
      </c>
      <c r="F19" s="8">
        <f>F62*500*12</f>
        <v>270000</v>
      </c>
      <c r="G19" s="8"/>
      <c r="H19" s="8">
        <f>H62*500*12</f>
        <v>12000</v>
      </c>
      <c r="I19" s="8">
        <f t="shared" si="0"/>
        <v>666000</v>
      </c>
      <c r="J19" s="7"/>
    </row>
    <row r="20" spans="1:10" ht="22.5">
      <c r="A20" s="5" t="s">
        <v>52</v>
      </c>
      <c r="B20" s="6" t="s">
        <v>193</v>
      </c>
      <c r="C20" s="6" t="s">
        <v>27</v>
      </c>
      <c r="D20" s="7" t="s">
        <v>28</v>
      </c>
      <c r="E20" s="9">
        <f>E64*10000</f>
        <v>640000</v>
      </c>
      <c r="F20" s="9"/>
      <c r="G20" s="9"/>
      <c r="H20" s="9"/>
      <c r="I20" s="8">
        <f t="shared" si="0"/>
        <v>640000</v>
      </c>
      <c r="J20" s="7"/>
    </row>
    <row r="21" spans="1:10">
      <c r="A21" s="5" t="s">
        <v>53</v>
      </c>
      <c r="B21" s="6" t="s">
        <v>54</v>
      </c>
      <c r="C21" s="6"/>
      <c r="D21" s="7" t="s">
        <v>20</v>
      </c>
      <c r="E21" s="8">
        <f>E22+E23</f>
        <v>2151262.29</v>
      </c>
      <c r="F21" s="8">
        <f>F22+F23</f>
        <v>1325398.29</v>
      </c>
      <c r="G21" s="8">
        <f>G22+G23</f>
        <v>91833.13</v>
      </c>
      <c r="H21" s="8">
        <f>H22+H23</f>
        <v>92534</v>
      </c>
      <c r="I21" s="8">
        <f t="shared" si="0"/>
        <v>3661027.71</v>
      </c>
      <c r="J21" s="7"/>
    </row>
    <row r="22" spans="1:10">
      <c r="A22" s="5" t="s">
        <v>55</v>
      </c>
      <c r="B22" s="6" t="s">
        <v>331</v>
      </c>
      <c r="C22" s="6" t="s">
        <v>56</v>
      </c>
      <c r="D22" s="7" t="s">
        <v>20</v>
      </c>
      <c r="E22" s="8">
        <f>ROUND(E30/0.07*0.09,2)</f>
        <v>1489335.43</v>
      </c>
      <c r="F22" s="8">
        <f>ROUND(F30/0.07*0.09,2)</f>
        <v>917583.43</v>
      </c>
      <c r="G22" s="8">
        <v>91833.13</v>
      </c>
      <c r="H22" s="8">
        <f>ROUND(H30/0.07*0.09,2)</f>
        <v>64062</v>
      </c>
      <c r="I22" s="8">
        <f t="shared" si="0"/>
        <v>2562813.9899999998</v>
      </c>
      <c r="J22" s="7"/>
    </row>
    <row r="23" spans="1:10" ht="22.5">
      <c r="A23" s="5" t="s">
        <v>57</v>
      </c>
      <c r="B23" s="6" t="s">
        <v>332</v>
      </c>
      <c r="C23" s="6" t="s">
        <v>56</v>
      </c>
      <c r="D23" s="7" t="s">
        <v>42</v>
      </c>
      <c r="E23" s="8">
        <f>E24+E25</f>
        <v>661926.86</v>
      </c>
      <c r="F23" s="8">
        <f>F24+F25</f>
        <v>407814.86</v>
      </c>
      <c r="G23" s="8">
        <f>G24+G25</f>
        <v>0</v>
      </c>
      <c r="H23" s="8">
        <f>H24+H25</f>
        <v>28472</v>
      </c>
      <c r="I23" s="8">
        <f t="shared" si="0"/>
        <v>1098213.72</v>
      </c>
      <c r="J23" s="7"/>
    </row>
    <row r="24" spans="1:10" ht="22.5">
      <c r="A24" s="5" t="s">
        <v>58</v>
      </c>
      <c r="B24" s="6" t="s">
        <v>333</v>
      </c>
      <c r="C24" s="6" t="s">
        <v>56</v>
      </c>
      <c r="D24" s="7" t="s">
        <v>42</v>
      </c>
      <c r="E24" s="8">
        <f>ROUND(E30/0.07*0.02,2)</f>
        <v>330963.43</v>
      </c>
      <c r="F24" s="8">
        <f>ROUND(F30/0.07*0.02,2)</f>
        <v>203907.43</v>
      </c>
      <c r="G24" s="8"/>
      <c r="H24" s="8">
        <f>ROUND(H30/0.07*0.02,2)</f>
        <v>14236</v>
      </c>
      <c r="I24" s="8">
        <f t="shared" si="0"/>
        <v>549106.86</v>
      </c>
      <c r="J24" s="7"/>
    </row>
    <row r="25" spans="1:10" ht="22.5">
      <c r="A25" s="5" t="s">
        <v>59</v>
      </c>
      <c r="B25" s="6" t="s">
        <v>334</v>
      </c>
      <c r="C25" s="6" t="s">
        <v>56</v>
      </c>
      <c r="D25" s="7" t="s">
        <v>42</v>
      </c>
      <c r="E25" s="8">
        <f>ROUND(E30/0.07*0.02,2)</f>
        <v>330963.43</v>
      </c>
      <c r="F25" s="8">
        <f>ROUND(F30/0.07*0.02,2)</f>
        <v>203907.43</v>
      </c>
      <c r="G25" s="8"/>
      <c r="H25" s="8">
        <f>ROUND(H30/0.07*0.02,2)</f>
        <v>14236</v>
      </c>
      <c r="I25" s="8">
        <f t="shared" si="0"/>
        <v>549106.86</v>
      </c>
      <c r="J25" s="7"/>
    </row>
    <row r="26" spans="1:10">
      <c r="A26" s="5" t="s">
        <v>60</v>
      </c>
      <c r="B26" s="6" t="s">
        <v>61</v>
      </c>
      <c r="C26" s="6"/>
      <c r="D26" s="7" t="s">
        <v>20</v>
      </c>
      <c r="E26" s="8">
        <f>E27</f>
        <v>2647707.4300000002</v>
      </c>
      <c r="F26" s="8">
        <f>F27</f>
        <v>1631259.43</v>
      </c>
      <c r="G26" s="8">
        <f>G27</f>
        <v>163258.54</v>
      </c>
      <c r="H26" s="8">
        <f>H27</f>
        <v>113888</v>
      </c>
      <c r="I26" s="8">
        <f t="shared" si="0"/>
        <v>4556113.4000000004</v>
      </c>
      <c r="J26" s="7"/>
    </row>
    <row r="27" spans="1:10" ht="22.5">
      <c r="A27" s="5" t="s">
        <v>62</v>
      </c>
      <c r="B27" s="6" t="s">
        <v>194</v>
      </c>
      <c r="C27" s="6" t="s">
        <v>63</v>
      </c>
      <c r="D27" s="7" t="s">
        <v>42</v>
      </c>
      <c r="E27" s="8">
        <f>ROUND(E30/0.07*0.16,2)</f>
        <v>2647707.4300000002</v>
      </c>
      <c r="F27" s="8">
        <f>ROUND(F30/0.07*0.16,2)</f>
        <v>1631259.43</v>
      </c>
      <c r="G27" s="8">
        <v>163258.54</v>
      </c>
      <c r="H27" s="8">
        <f>ROUND(H30/0.07*0.16,2)</f>
        <v>113888</v>
      </c>
      <c r="I27" s="8">
        <f t="shared" si="0"/>
        <v>4556113.4000000004</v>
      </c>
      <c r="J27" s="7"/>
    </row>
    <row r="28" spans="1:10">
      <c r="A28" s="5" t="s">
        <v>64</v>
      </c>
      <c r="B28" s="6" t="s">
        <v>65</v>
      </c>
      <c r="C28" s="6"/>
      <c r="D28" s="7" t="s">
        <v>20</v>
      </c>
      <c r="E28" s="8">
        <f>E29</f>
        <v>1323853.71</v>
      </c>
      <c r="F28" s="8">
        <f>F29</f>
        <v>815629.71</v>
      </c>
      <c r="G28" s="8">
        <f>G29</f>
        <v>81629.27</v>
      </c>
      <c r="H28" s="8">
        <f>H29</f>
        <v>56944</v>
      </c>
      <c r="I28" s="8">
        <f t="shared" si="0"/>
        <v>2278056.69</v>
      </c>
      <c r="J28" s="7"/>
    </row>
    <row r="29" spans="1:10" ht="22.5">
      <c r="A29" s="5" t="s">
        <v>66</v>
      </c>
      <c r="B29" s="6" t="s">
        <v>67</v>
      </c>
      <c r="C29" s="6" t="s">
        <v>68</v>
      </c>
      <c r="D29" s="7" t="s">
        <v>42</v>
      </c>
      <c r="E29" s="8">
        <f>ROUND(E30/0.07*0.08,2)</f>
        <v>1323853.71</v>
      </c>
      <c r="F29" s="8">
        <f>ROUND(F30/0.07*0.08,2)</f>
        <v>815629.71</v>
      </c>
      <c r="G29" s="8">
        <v>81629.27</v>
      </c>
      <c r="H29" s="8">
        <f>ROUND(H30/0.07*0.08,2)</f>
        <v>56944</v>
      </c>
      <c r="I29" s="8">
        <f t="shared" si="0"/>
        <v>2278056.69</v>
      </c>
      <c r="J29" s="7"/>
    </row>
    <row r="30" spans="1:10" ht="22.5">
      <c r="A30" s="5" t="s">
        <v>69</v>
      </c>
      <c r="B30" s="6" t="s">
        <v>335</v>
      </c>
      <c r="C30" s="6" t="s">
        <v>70</v>
      </c>
      <c r="D30" s="7" t="s">
        <v>28</v>
      </c>
      <c r="E30" s="9">
        <v>1158372</v>
      </c>
      <c r="F30" s="9">
        <v>713676</v>
      </c>
      <c r="G30" s="9"/>
      <c r="H30" s="9">
        <v>49826.000000000007</v>
      </c>
      <c r="I30" s="8">
        <f t="shared" si="0"/>
        <v>1921874</v>
      </c>
      <c r="J30" s="7"/>
    </row>
    <row r="31" spans="1:10">
      <c r="A31" s="5" t="s">
        <v>71</v>
      </c>
      <c r="B31" s="6" t="s">
        <v>195</v>
      </c>
      <c r="C31" s="6" t="s">
        <v>27</v>
      </c>
      <c r="D31" s="7" t="s">
        <v>196</v>
      </c>
      <c r="E31" s="9"/>
      <c r="F31" s="9"/>
      <c r="G31" s="9"/>
      <c r="H31" s="9"/>
      <c r="I31" s="8">
        <f t="shared" si="0"/>
        <v>0</v>
      </c>
      <c r="J31" s="7"/>
    </row>
    <row r="32" spans="1:10">
      <c r="A32" s="5" t="s">
        <v>72</v>
      </c>
      <c r="B32" s="6" t="s">
        <v>73</v>
      </c>
      <c r="C32" s="6"/>
      <c r="D32" s="7" t="s">
        <v>20</v>
      </c>
      <c r="E32" s="8">
        <f>E33+E35+E37</f>
        <v>1386780</v>
      </c>
      <c r="F32" s="8">
        <f>F33+F35+F37</f>
        <v>201900</v>
      </c>
      <c r="G32" s="8">
        <f>G33+G35+G37</f>
        <v>0</v>
      </c>
      <c r="H32" s="8">
        <f>H33+H35+H37</f>
        <v>13020</v>
      </c>
      <c r="I32" s="8">
        <f t="shared" si="0"/>
        <v>1601700</v>
      </c>
      <c r="J32" s="7"/>
    </row>
    <row r="33" spans="1:10" ht="33.75">
      <c r="A33" s="5" t="s">
        <v>74</v>
      </c>
      <c r="B33" s="6" t="s">
        <v>197</v>
      </c>
      <c r="C33" s="6" t="s">
        <v>75</v>
      </c>
      <c r="D33" s="7" t="s">
        <v>198</v>
      </c>
      <c r="E33" s="8">
        <f>E34</f>
        <v>1382460</v>
      </c>
      <c r="F33" s="8">
        <f>F34</f>
        <v>198300</v>
      </c>
      <c r="G33" s="8">
        <f>G34</f>
        <v>0</v>
      </c>
      <c r="H33" s="8">
        <f>H34</f>
        <v>13020</v>
      </c>
      <c r="I33" s="8">
        <f t="shared" si="0"/>
        <v>1593780</v>
      </c>
      <c r="J33" s="7"/>
    </row>
    <row r="34" spans="1:10" ht="33.75">
      <c r="A34" s="5" t="s">
        <v>76</v>
      </c>
      <c r="B34" s="6" t="s">
        <v>199</v>
      </c>
      <c r="C34" s="6" t="s">
        <v>75</v>
      </c>
      <c r="D34" s="7" t="s">
        <v>198</v>
      </c>
      <c r="E34" s="9">
        <v>1382460</v>
      </c>
      <c r="F34" s="9">
        <v>198300</v>
      </c>
      <c r="G34" s="9"/>
      <c r="H34" s="9">
        <v>13020</v>
      </c>
      <c r="I34" s="8">
        <f t="shared" si="0"/>
        <v>1593780</v>
      </c>
      <c r="J34" s="7"/>
    </row>
    <row r="35" spans="1:10">
      <c r="A35" s="5" t="s">
        <v>77</v>
      </c>
      <c r="B35" s="6" t="s">
        <v>78</v>
      </c>
      <c r="C35" s="6"/>
      <c r="D35" s="7" t="s">
        <v>20</v>
      </c>
      <c r="E35" s="8">
        <f>E36</f>
        <v>4320</v>
      </c>
      <c r="F35" s="8">
        <f>F36</f>
        <v>3600</v>
      </c>
      <c r="G35" s="8">
        <f>G36</f>
        <v>0</v>
      </c>
      <c r="H35" s="8">
        <f>H36</f>
        <v>0</v>
      </c>
      <c r="I35" s="8">
        <f t="shared" si="0"/>
        <v>7920</v>
      </c>
      <c r="J35" s="7"/>
    </row>
    <row r="36" spans="1:10" ht="22.5">
      <c r="A36" s="5" t="s">
        <v>79</v>
      </c>
      <c r="B36" s="6" t="s">
        <v>80</v>
      </c>
      <c r="C36" s="6" t="s">
        <v>27</v>
      </c>
      <c r="D36" s="7" t="s">
        <v>28</v>
      </c>
      <c r="E36" s="9">
        <v>4320</v>
      </c>
      <c r="F36" s="9">
        <v>3600</v>
      </c>
      <c r="G36" s="9"/>
      <c r="H36" s="9"/>
      <c r="I36" s="8">
        <f t="shared" si="0"/>
        <v>7920</v>
      </c>
      <c r="J36" s="7"/>
    </row>
    <row r="37" spans="1:10">
      <c r="A37" s="5" t="s">
        <v>81</v>
      </c>
      <c r="B37" s="6" t="s">
        <v>82</v>
      </c>
      <c r="C37" s="6"/>
      <c r="D37" s="7" t="s">
        <v>20</v>
      </c>
      <c r="E37" s="8">
        <f>E38</f>
        <v>0</v>
      </c>
      <c r="F37" s="8">
        <f>F38</f>
        <v>0</v>
      </c>
      <c r="G37" s="8">
        <f>G38</f>
        <v>0</v>
      </c>
      <c r="H37" s="8">
        <f>H38</f>
        <v>0</v>
      </c>
      <c r="I37" s="8">
        <f t="shared" si="0"/>
        <v>0</v>
      </c>
      <c r="J37" s="7"/>
    </row>
    <row r="38" spans="1:10" ht="56.25">
      <c r="A38" s="5" t="s">
        <v>83</v>
      </c>
      <c r="B38" s="6" t="s">
        <v>200</v>
      </c>
      <c r="C38" s="6" t="s">
        <v>27</v>
      </c>
      <c r="D38" s="7" t="s">
        <v>84</v>
      </c>
      <c r="E38" s="9"/>
      <c r="F38" s="9"/>
      <c r="G38" s="9"/>
      <c r="H38" s="9"/>
      <c r="I38" s="8">
        <f t="shared" si="0"/>
        <v>0</v>
      </c>
      <c r="J38" s="7"/>
    </row>
    <row r="39" spans="1:10">
      <c r="A39" s="5" t="s">
        <v>85</v>
      </c>
      <c r="B39" s="6" t="s">
        <v>86</v>
      </c>
      <c r="C39" s="6"/>
      <c r="D39" s="7" t="s">
        <v>20</v>
      </c>
      <c r="E39" s="8">
        <f>E40+E42+E44+E46+E48+E51+E53+E55+E59</f>
        <v>5066827.93</v>
      </c>
      <c r="F39" s="8">
        <f>F40+F42+F44+F46+F48+F51+F53+F55+F59</f>
        <v>2400871.9300000002</v>
      </c>
      <c r="G39" s="8">
        <f>G40+G42+G44+G46+G48+G51+G53+G55+G59</f>
        <v>402306</v>
      </c>
      <c r="H39" s="8">
        <f>H40+H42+H44+H46+H48+H51+H53+H55+H59</f>
        <v>174196</v>
      </c>
      <c r="I39" s="8">
        <f t="shared" si="0"/>
        <v>8044201.8599999994</v>
      </c>
      <c r="J39" s="7"/>
    </row>
    <row r="40" spans="1:10" ht="22.5">
      <c r="A40" s="5" t="s">
        <v>87</v>
      </c>
      <c r="B40" s="6" t="s">
        <v>88</v>
      </c>
      <c r="C40" s="6"/>
      <c r="D40" s="7" t="s">
        <v>89</v>
      </c>
      <c r="E40" s="9">
        <f>E67*3210</f>
        <v>3835950</v>
      </c>
      <c r="F40" s="9">
        <v>1753160</v>
      </c>
      <c r="G40" s="9">
        <v>402306</v>
      </c>
      <c r="H40" s="9">
        <v>44800</v>
      </c>
      <c r="I40" s="8">
        <f t="shared" si="0"/>
        <v>6036216</v>
      </c>
      <c r="J40" s="7"/>
    </row>
    <row r="41" spans="1:10">
      <c r="A41" s="5" t="s">
        <v>90</v>
      </c>
      <c r="B41" s="6" t="s">
        <v>201</v>
      </c>
      <c r="C41" s="6" t="s">
        <v>27</v>
      </c>
      <c r="D41" s="11" t="s">
        <v>202</v>
      </c>
      <c r="E41" s="9">
        <f>E40*0.05</f>
        <v>191797.5</v>
      </c>
      <c r="F41" s="9">
        <v>77362</v>
      </c>
      <c r="G41" s="9"/>
      <c r="H41" s="9">
        <v>2240</v>
      </c>
      <c r="I41" s="8">
        <f t="shared" si="0"/>
        <v>271399.5</v>
      </c>
      <c r="J41" s="7"/>
    </row>
    <row r="42" spans="1:10">
      <c r="A42" s="5" t="s">
        <v>91</v>
      </c>
      <c r="B42" s="6" t="s">
        <v>92</v>
      </c>
      <c r="C42" s="6"/>
      <c r="D42" s="7"/>
      <c r="E42" s="8">
        <f>E43</f>
        <v>25600</v>
      </c>
      <c r="F42" s="8">
        <f>F43</f>
        <v>18000</v>
      </c>
      <c r="G42" s="8">
        <f>G43</f>
        <v>0</v>
      </c>
      <c r="H42" s="8">
        <f>H43</f>
        <v>800</v>
      </c>
      <c r="I42" s="8">
        <f t="shared" si="0"/>
        <v>44400</v>
      </c>
      <c r="J42" s="7"/>
    </row>
    <row r="43" spans="1:10" ht="33.75">
      <c r="A43" s="5" t="s">
        <v>93</v>
      </c>
      <c r="B43" s="6" t="s">
        <v>94</v>
      </c>
      <c r="C43" s="6" t="s">
        <v>27</v>
      </c>
      <c r="D43" s="11" t="s">
        <v>95</v>
      </c>
      <c r="E43" s="8">
        <f>E62*400</f>
        <v>25600</v>
      </c>
      <c r="F43" s="8">
        <f>F62*400</f>
        <v>18000</v>
      </c>
      <c r="G43" s="8"/>
      <c r="H43" s="8">
        <f>H62*400</f>
        <v>800</v>
      </c>
      <c r="I43" s="8">
        <f t="shared" si="0"/>
        <v>44400</v>
      </c>
      <c r="J43" s="7"/>
    </row>
    <row r="44" spans="1:10">
      <c r="A44" s="5" t="s">
        <v>96</v>
      </c>
      <c r="B44" s="6" t="s">
        <v>97</v>
      </c>
      <c r="C44" s="6"/>
      <c r="D44" s="7" t="s">
        <v>20</v>
      </c>
      <c r="E44" s="8">
        <f>E45</f>
        <v>172906.5</v>
      </c>
      <c r="F44" s="8">
        <f>F45</f>
        <v>109564.5</v>
      </c>
      <c r="G44" s="8">
        <f>G45</f>
        <v>0</v>
      </c>
      <c r="H44" s="8">
        <f>H45</f>
        <v>45000</v>
      </c>
      <c r="I44" s="8">
        <f t="shared" si="0"/>
        <v>327471</v>
      </c>
      <c r="J44" s="7"/>
    </row>
    <row r="45" spans="1:10" ht="33.75">
      <c r="A45" s="5" t="s">
        <v>98</v>
      </c>
      <c r="B45" s="6" t="s">
        <v>99</v>
      </c>
      <c r="C45" s="6" t="s">
        <v>27</v>
      </c>
      <c r="D45" s="11" t="s">
        <v>100</v>
      </c>
      <c r="E45" s="8">
        <f>E73*15</f>
        <v>172906.5</v>
      </c>
      <c r="F45" s="8">
        <f>F73*15</f>
        <v>109564.5</v>
      </c>
      <c r="G45" s="8"/>
      <c r="H45" s="8">
        <f>H73*15</f>
        <v>45000</v>
      </c>
      <c r="I45" s="8">
        <f t="shared" si="0"/>
        <v>327471</v>
      </c>
      <c r="J45" s="7"/>
    </row>
    <row r="46" spans="1:10">
      <c r="A46" s="5" t="s">
        <v>101</v>
      </c>
      <c r="B46" s="6" t="s">
        <v>102</v>
      </c>
      <c r="C46" s="6"/>
      <c r="D46" s="7" t="s">
        <v>20</v>
      </c>
      <c r="E46" s="8">
        <f>E47</f>
        <v>46368</v>
      </c>
      <c r="F46" s="8">
        <f>F47</f>
        <v>30800</v>
      </c>
      <c r="G46" s="8">
        <f>G47</f>
        <v>0</v>
      </c>
      <c r="H46" s="8">
        <f>H47</f>
        <v>24000</v>
      </c>
      <c r="I46" s="8">
        <f t="shared" si="0"/>
        <v>101168</v>
      </c>
      <c r="J46" s="7"/>
    </row>
    <row r="47" spans="1:10" ht="33.75">
      <c r="A47" s="5" t="s">
        <v>103</v>
      </c>
      <c r="B47" s="6" t="s">
        <v>104</v>
      </c>
      <c r="C47" s="6" t="s">
        <v>27</v>
      </c>
      <c r="D47" s="11" t="s">
        <v>105</v>
      </c>
      <c r="E47" s="8">
        <f>E74*8</f>
        <v>46368</v>
      </c>
      <c r="F47" s="8">
        <f>F74*8</f>
        <v>30800</v>
      </c>
      <c r="G47" s="8"/>
      <c r="H47" s="8">
        <f>H74*8</f>
        <v>24000</v>
      </c>
      <c r="I47" s="8">
        <f t="shared" si="0"/>
        <v>101168</v>
      </c>
      <c r="J47" s="7"/>
    </row>
    <row r="48" spans="1:10">
      <c r="A48" s="5" t="s">
        <v>106</v>
      </c>
      <c r="B48" s="6" t="s">
        <v>203</v>
      </c>
      <c r="C48" s="6"/>
      <c r="D48" s="7" t="s">
        <v>20</v>
      </c>
      <c r="E48" s="8">
        <f>E49+E50</f>
        <v>591840</v>
      </c>
      <c r="F48" s="8">
        <f>F49+F50</f>
        <v>246240</v>
      </c>
      <c r="G48" s="8">
        <f>G49+G50</f>
        <v>0</v>
      </c>
      <c r="H48" s="8">
        <f>H49+H50</f>
        <v>12960</v>
      </c>
      <c r="I48" s="8">
        <f t="shared" si="0"/>
        <v>851040</v>
      </c>
      <c r="J48" s="7"/>
    </row>
    <row r="49" spans="1:10" ht="33.75">
      <c r="A49" s="5" t="s">
        <v>107</v>
      </c>
      <c r="B49" s="6" t="s">
        <v>204</v>
      </c>
      <c r="C49" s="6" t="s">
        <v>27</v>
      </c>
      <c r="D49" s="11" t="s">
        <v>108</v>
      </c>
      <c r="E49" s="8">
        <f>E62*4320</f>
        <v>276480</v>
      </c>
      <c r="F49" s="8">
        <f>F62*4320</f>
        <v>194400</v>
      </c>
      <c r="G49" s="8"/>
      <c r="H49" s="8">
        <f>H62*4320</f>
        <v>8640</v>
      </c>
      <c r="I49" s="8">
        <f t="shared" si="0"/>
        <v>479520</v>
      </c>
      <c r="J49" s="7"/>
    </row>
    <row r="50" spans="1:10" ht="33.75">
      <c r="A50" s="5" t="s">
        <v>109</v>
      </c>
      <c r="B50" s="6" t="s">
        <v>205</v>
      </c>
      <c r="C50" s="6" t="s">
        <v>27</v>
      </c>
      <c r="D50" s="11" t="s">
        <v>206</v>
      </c>
      <c r="E50" s="8">
        <f>E72*4320</f>
        <v>315360</v>
      </c>
      <c r="F50" s="8">
        <f>F72*4320</f>
        <v>51840</v>
      </c>
      <c r="G50" s="8"/>
      <c r="H50" s="8">
        <f>H72*4320</f>
        <v>4320</v>
      </c>
      <c r="I50" s="8">
        <f t="shared" si="0"/>
        <v>371520</v>
      </c>
      <c r="J50" s="7"/>
    </row>
    <row r="51" spans="1:10">
      <c r="A51" s="5" t="s">
        <v>110</v>
      </c>
      <c r="B51" s="6" t="s">
        <v>207</v>
      </c>
      <c r="C51" s="6"/>
      <c r="D51" s="7" t="s">
        <v>20</v>
      </c>
      <c r="E51" s="8">
        <f>E52</f>
        <v>330963.43</v>
      </c>
      <c r="F51" s="8">
        <f>F52</f>
        <v>203907.43</v>
      </c>
      <c r="G51" s="8">
        <f>G52</f>
        <v>0</v>
      </c>
      <c r="H51" s="8">
        <f>H52</f>
        <v>14236</v>
      </c>
      <c r="I51" s="8">
        <f t="shared" si="0"/>
        <v>549106.86</v>
      </c>
      <c r="J51" s="7"/>
    </row>
    <row r="52" spans="1:10" ht="22.5">
      <c r="A52" s="5" t="s">
        <v>111</v>
      </c>
      <c r="B52" s="6" t="s">
        <v>112</v>
      </c>
      <c r="C52" s="6" t="s">
        <v>27</v>
      </c>
      <c r="D52" s="7" t="s">
        <v>42</v>
      </c>
      <c r="E52" s="8">
        <f>ROUND(E30/0.07*0.02,2)</f>
        <v>330963.43</v>
      </c>
      <c r="F52" s="8">
        <f>ROUND(F30/0.07*0.02,2)</f>
        <v>203907.43</v>
      </c>
      <c r="G52" s="8">
        <f>ROUND(G30/0.07*0.02,2)</f>
        <v>0</v>
      </c>
      <c r="H52" s="8">
        <f>ROUND(H30/0.07*0.02,2)</f>
        <v>14236</v>
      </c>
      <c r="I52" s="8">
        <f t="shared" si="0"/>
        <v>549106.86</v>
      </c>
      <c r="J52" s="7"/>
    </row>
    <row r="53" spans="1:10">
      <c r="A53" s="5" t="s">
        <v>113</v>
      </c>
      <c r="B53" s="6" t="s">
        <v>208</v>
      </c>
      <c r="C53" s="6"/>
      <c r="D53" s="7" t="s">
        <v>20</v>
      </c>
      <c r="E53" s="8">
        <f>E54</f>
        <v>32000</v>
      </c>
      <c r="F53" s="8">
        <f>F54</f>
        <v>0</v>
      </c>
      <c r="G53" s="8">
        <f>G54</f>
        <v>0</v>
      </c>
      <c r="H53" s="8">
        <f>H54</f>
        <v>0</v>
      </c>
      <c r="I53" s="8">
        <f t="shared" si="0"/>
        <v>32000</v>
      </c>
      <c r="J53" s="7"/>
    </row>
    <row r="54" spans="1:10" ht="90">
      <c r="A54" s="5" t="s">
        <v>114</v>
      </c>
      <c r="B54" s="6" t="s">
        <v>115</v>
      </c>
      <c r="C54" s="6" t="s">
        <v>27</v>
      </c>
      <c r="D54" s="11" t="s">
        <v>209</v>
      </c>
      <c r="E54" s="9">
        <v>32000</v>
      </c>
      <c r="F54" s="9"/>
      <c r="G54" s="9"/>
      <c r="H54" s="9"/>
      <c r="I54" s="8">
        <f t="shared" si="0"/>
        <v>32000</v>
      </c>
      <c r="J54" s="7"/>
    </row>
    <row r="55" spans="1:10">
      <c r="A55" s="5" t="s">
        <v>116</v>
      </c>
      <c r="B55" s="6" t="s">
        <v>210</v>
      </c>
      <c r="C55" s="6"/>
      <c r="D55" s="7" t="s">
        <v>20</v>
      </c>
      <c r="E55" s="8">
        <f>E56+E58</f>
        <v>31200</v>
      </c>
      <c r="F55" s="8">
        <f>F56+F58</f>
        <v>7200</v>
      </c>
      <c r="G55" s="8">
        <f>G56+G58</f>
        <v>0</v>
      </c>
      <c r="H55" s="8">
        <f>H56+H58</f>
        <v>400</v>
      </c>
      <c r="I55" s="8">
        <f t="shared" si="0"/>
        <v>38800</v>
      </c>
      <c r="J55" s="7"/>
    </row>
    <row r="56" spans="1:10">
      <c r="A56" s="5" t="s">
        <v>117</v>
      </c>
      <c r="B56" s="6" t="s">
        <v>211</v>
      </c>
      <c r="C56" s="6" t="s">
        <v>27</v>
      </c>
      <c r="D56" s="7" t="s">
        <v>20</v>
      </c>
      <c r="E56" s="8">
        <f>E57</f>
        <v>29200</v>
      </c>
      <c r="F56" s="8">
        <f>F57</f>
        <v>4800</v>
      </c>
      <c r="G56" s="8">
        <f>G57</f>
        <v>0</v>
      </c>
      <c r="H56" s="8">
        <f>H57</f>
        <v>400</v>
      </c>
      <c r="I56" s="8">
        <f t="shared" si="0"/>
        <v>34400</v>
      </c>
      <c r="J56" s="7"/>
    </row>
    <row r="57" spans="1:10" ht="45">
      <c r="A57" s="5" t="s">
        <v>118</v>
      </c>
      <c r="B57" s="6" t="s">
        <v>119</v>
      </c>
      <c r="C57" s="6" t="s">
        <v>27</v>
      </c>
      <c r="D57" s="11" t="s">
        <v>212</v>
      </c>
      <c r="E57" s="8">
        <f>E72*400</f>
        <v>29200</v>
      </c>
      <c r="F57" s="8">
        <f>F72*400</f>
        <v>4800</v>
      </c>
      <c r="G57" s="8"/>
      <c r="H57" s="8">
        <f>H72*400</f>
        <v>400</v>
      </c>
      <c r="I57" s="8">
        <f t="shared" si="0"/>
        <v>34400</v>
      </c>
      <c r="J57" s="7"/>
    </row>
    <row r="58" spans="1:10">
      <c r="A58" s="5" t="s">
        <v>120</v>
      </c>
      <c r="B58" s="6" t="s">
        <v>213</v>
      </c>
      <c r="C58" s="6" t="s">
        <v>27</v>
      </c>
      <c r="D58" s="11" t="s">
        <v>121</v>
      </c>
      <c r="E58" s="12">
        <v>2000</v>
      </c>
      <c r="F58" s="12">
        <v>2400</v>
      </c>
      <c r="G58" s="12"/>
      <c r="H58" s="12"/>
      <c r="I58" s="8">
        <f t="shared" si="0"/>
        <v>4400</v>
      </c>
      <c r="J58" s="7"/>
    </row>
    <row r="59" spans="1:10">
      <c r="A59" s="5" t="s">
        <v>122</v>
      </c>
      <c r="B59" s="6" t="s">
        <v>214</v>
      </c>
      <c r="C59" s="6"/>
      <c r="D59" s="7" t="s">
        <v>20</v>
      </c>
      <c r="E59" s="8">
        <f>E60</f>
        <v>0</v>
      </c>
      <c r="F59" s="8">
        <f>F60</f>
        <v>32000</v>
      </c>
      <c r="G59" s="8">
        <f>G60</f>
        <v>0</v>
      </c>
      <c r="H59" s="8">
        <f>H60</f>
        <v>32000</v>
      </c>
      <c r="I59" s="8">
        <f t="shared" si="0"/>
        <v>64000</v>
      </c>
      <c r="J59" s="7"/>
    </row>
    <row r="60" spans="1:10" ht="135.75" thickBot="1">
      <c r="A60" s="5" t="s">
        <v>123</v>
      </c>
      <c r="B60" s="13" t="s">
        <v>124</v>
      </c>
      <c r="C60" s="6" t="s">
        <v>27</v>
      </c>
      <c r="D60" s="14" t="s">
        <v>215</v>
      </c>
      <c r="E60" s="2"/>
      <c r="F60" s="9">
        <v>32000</v>
      </c>
      <c r="G60" s="2"/>
      <c r="H60" s="2">
        <v>32000</v>
      </c>
      <c r="I60" s="8">
        <f t="shared" si="0"/>
        <v>64000</v>
      </c>
      <c r="J60" s="15"/>
    </row>
    <row r="61" spans="1:10" ht="12" thickTop="1">
      <c r="A61" s="5" t="s">
        <v>125</v>
      </c>
      <c r="B61" s="16" t="s">
        <v>126</v>
      </c>
      <c r="C61" s="16"/>
      <c r="D61" s="17"/>
      <c r="E61" s="18"/>
      <c r="F61" s="18"/>
      <c r="G61" s="18"/>
      <c r="H61" s="18"/>
      <c r="I61" s="8">
        <f t="shared" si="0"/>
        <v>0</v>
      </c>
      <c r="J61" s="19"/>
    </row>
    <row r="62" spans="1:10" ht="33.75">
      <c r="A62" s="5" t="s">
        <v>127</v>
      </c>
      <c r="B62" s="6" t="s">
        <v>128</v>
      </c>
      <c r="C62" s="6"/>
      <c r="D62" s="7" t="s">
        <v>216</v>
      </c>
      <c r="E62" s="8">
        <f>E63+E64+E65+E66</f>
        <v>64</v>
      </c>
      <c r="F62" s="8">
        <f>F63+F64+F65+F66</f>
        <v>45</v>
      </c>
      <c r="G62" s="8">
        <f>G63+G64+G65+G66</f>
        <v>0</v>
      </c>
      <c r="H62" s="8">
        <f>H63+H64+H65+H66</f>
        <v>2</v>
      </c>
      <c r="I62" s="8">
        <f t="shared" si="0"/>
        <v>111</v>
      </c>
      <c r="J62" s="7"/>
    </row>
    <row r="63" spans="1:10">
      <c r="A63" s="5" t="s">
        <v>129</v>
      </c>
      <c r="B63" s="20" t="s">
        <v>130</v>
      </c>
      <c r="C63" s="20"/>
      <c r="D63" s="7"/>
      <c r="E63" s="9"/>
      <c r="F63" s="9"/>
      <c r="G63" s="9"/>
      <c r="H63" s="9"/>
      <c r="I63" s="8">
        <f t="shared" si="0"/>
        <v>0</v>
      </c>
      <c r="J63" s="7"/>
    </row>
    <row r="64" spans="1:10">
      <c r="A64" s="5" t="s">
        <v>131</v>
      </c>
      <c r="B64" s="20" t="s">
        <v>132</v>
      </c>
      <c r="C64" s="20"/>
      <c r="D64" s="7"/>
      <c r="E64" s="9">
        <v>64</v>
      </c>
      <c r="F64" s="9"/>
      <c r="G64" s="9"/>
      <c r="H64" s="9"/>
      <c r="I64" s="8">
        <f t="shared" si="0"/>
        <v>64</v>
      </c>
      <c r="J64" s="7"/>
    </row>
    <row r="65" spans="1:10">
      <c r="A65" s="5" t="s">
        <v>133</v>
      </c>
      <c r="B65" s="20" t="s">
        <v>134</v>
      </c>
      <c r="C65" s="20"/>
      <c r="D65" s="7"/>
      <c r="E65" s="9"/>
      <c r="F65" s="9">
        <v>45</v>
      </c>
      <c r="G65" s="9"/>
      <c r="H65" s="9"/>
      <c r="I65" s="8">
        <f t="shared" si="0"/>
        <v>45</v>
      </c>
      <c r="J65" s="7"/>
    </row>
    <row r="66" spans="1:10">
      <c r="A66" s="5" t="s">
        <v>135</v>
      </c>
      <c r="B66" s="20" t="s">
        <v>136</v>
      </c>
      <c r="C66" s="20"/>
      <c r="D66" s="7"/>
      <c r="E66" s="9"/>
      <c r="F66" s="9"/>
      <c r="G66" s="9"/>
      <c r="H66" s="9">
        <v>2</v>
      </c>
      <c r="I66" s="8">
        <f t="shared" si="0"/>
        <v>2</v>
      </c>
      <c r="J66" s="7"/>
    </row>
    <row r="67" spans="1:10" ht="56.25">
      <c r="A67" s="5" t="s">
        <v>137</v>
      </c>
      <c r="B67" s="6" t="s">
        <v>138</v>
      </c>
      <c r="C67" s="6"/>
      <c r="D67" s="7" t="s">
        <v>217</v>
      </c>
      <c r="E67" s="8">
        <f>E68+E69+E70+E71</f>
        <v>1195</v>
      </c>
      <c r="F67" s="8">
        <f>F68+F69+F70+F71</f>
        <v>514</v>
      </c>
      <c r="G67" s="8">
        <f>G68+G69+G70+G71</f>
        <v>0</v>
      </c>
      <c r="H67" s="8">
        <f>H68+H69+H70+H71</f>
        <v>0</v>
      </c>
      <c r="I67" s="8">
        <f t="shared" si="0"/>
        <v>1709</v>
      </c>
      <c r="J67" s="7"/>
    </row>
    <row r="68" spans="1:10">
      <c r="A68" s="5" t="s">
        <v>139</v>
      </c>
      <c r="B68" s="20" t="s">
        <v>130</v>
      </c>
      <c r="C68" s="20"/>
      <c r="D68" s="7"/>
      <c r="E68" s="9"/>
      <c r="F68" s="9"/>
      <c r="G68" s="9"/>
      <c r="H68" s="9"/>
      <c r="I68" s="8">
        <f t="shared" ref="I68:I74" si="1">SUM(E68:H68)</f>
        <v>0</v>
      </c>
      <c r="J68" s="7"/>
    </row>
    <row r="69" spans="1:10">
      <c r="A69" s="5" t="s">
        <v>140</v>
      </c>
      <c r="B69" s="20" t="s">
        <v>132</v>
      </c>
      <c r="C69" s="20"/>
      <c r="D69" s="7"/>
      <c r="E69" s="9">
        <v>1195</v>
      </c>
      <c r="F69" s="9"/>
      <c r="G69" s="9"/>
      <c r="H69" s="9"/>
      <c r="I69" s="8">
        <f t="shared" si="1"/>
        <v>1195</v>
      </c>
      <c r="J69" s="7"/>
    </row>
    <row r="70" spans="1:10">
      <c r="A70" s="5" t="s">
        <v>141</v>
      </c>
      <c r="B70" s="20" t="s">
        <v>134</v>
      </c>
      <c r="C70" s="20"/>
      <c r="D70" s="7"/>
      <c r="E70" s="9"/>
      <c r="F70" s="9">
        <v>514</v>
      </c>
      <c r="G70" s="9"/>
      <c r="H70" s="9"/>
      <c r="I70" s="8">
        <f t="shared" si="1"/>
        <v>514</v>
      </c>
      <c r="J70" s="7"/>
    </row>
    <row r="71" spans="1:10">
      <c r="A71" s="5" t="s">
        <v>142</v>
      </c>
      <c r="B71" s="20" t="s">
        <v>136</v>
      </c>
      <c r="C71" s="20"/>
      <c r="D71" s="7"/>
      <c r="E71" s="9"/>
      <c r="F71" s="9"/>
      <c r="G71" s="9"/>
      <c r="H71" s="9"/>
      <c r="I71" s="8">
        <f t="shared" si="1"/>
        <v>0</v>
      </c>
      <c r="J71" s="7"/>
    </row>
    <row r="72" spans="1:10">
      <c r="A72" s="5" t="s">
        <v>143</v>
      </c>
      <c r="B72" s="6" t="s">
        <v>218</v>
      </c>
      <c r="C72" s="6"/>
      <c r="D72" s="7"/>
      <c r="E72" s="9">
        <v>73</v>
      </c>
      <c r="F72" s="9">
        <v>12</v>
      </c>
      <c r="G72" s="9"/>
      <c r="H72" s="9">
        <v>1</v>
      </c>
      <c r="I72" s="8">
        <f t="shared" si="1"/>
        <v>86</v>
      </c>
      <c r="J72" s="7"/>
    </row>
    <row r="73" spans="1:10">
      <c r="A73" s="5" t="s">
        <v>144</v>
      </c>
      <c r="B73" s="20" t="s">
        <v>219</v>
      </c>
      <c r="C73" s="20"/>
      <c r="D73" s="11"/>
      <c r="E73" s="9">
        <f>6698.1+4829</f>
        <v>11527.1</v>
      </c>
      <c r="F73" s="9">
        <v>7304.3</v>
      </c>
      <c r="G73" s="9"/>
      <c r="H73" s="9">
        <v>3000</v>
      </c>
      <c r="I73" s="8">
        <f t="shared" si="1"/>
        <v>21831.4</v>
      </c>
      <c r="J73" s="7"/>
    </row>
    <row r="74" spans="1:10">
      <c r="A74" s="5" t="s">
        <v>145</v>
      </c>
      <c r="B74" s="20" t="s">
        <v>220</v>
      </c>
      <c r="C74" s="20"/>
      <c r="D74" s="11"/>
      <c r="E74" s="9">
        <f>5066+730</f>
        <v>5796</v>
      </c>
      <c r="F74" s="9">
        <v>3850</v>
      </c>
      <c r="G74" s="9"/>
      <c r="H74" s="9">
        <v>3000</v>
      </c>
      <c r="I74" s="8">
        <f t="shared" si="1"/>
        <v>12646</v>
      </c>
      <c r="J74" s="7"/>
    </row>
  </sheetData>
  <protectedRanges>
    <protectedRange password="E9C1" sqref="D30 C31 A5:D6 B7:D29 B32:D74 I5:J74 A7:A74 A2:J4" name="区域1_1"/>
    <protectedRange password="E9C1" sqref="B30:C30 B31" name="区域1_1_1"/>
    <protectedRange password="E9C1" sqref="D31" name="区域1_2"/>
    <protectedRange sqref="F2:H3" name="区域1_1_2"/>
  </protectedRanges>
  <mergeCells count="7">
    <mergeCell ref="A1:J1"/>
    <mergeCell ref="A2:A3"/>
    <mergeCell ref="B2:B3"/>
    <mergeCell ref="C2:C3"/>
    <mergeCell ref="D2:D3"/>
    <mergeCell ref="I2:I3"/>
    <mergeCell ref="J2:J3"/>
  </mergeCells>
  <phoneticPr fontId="2" type="noConversion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Y74"/>
  <sheetViews>
    <sheetView topLeftCell="E1" workbookViewId="0">
      <selection activeCell="D75" sqref="A75:XFD75"/>
    </sheetView>
  </sheetViews>
  <sheetFormatPr defaultRowHeight="11.25"/>
  <cols>
    <col min="1" max="1" width="9" style="21"/>
    <col min="2" max="2" width="13.75" style="3" customWidth="1"/>
    <col min="3" max="3" width="9" style="3"/>
    <col min="4" max="4" width="9" style="22"/>
    <col min="5" max="5" width="10.625" style="3" customWidth="1"/>
    <col min="6" max="6" width="11.125" style="3" customWidth="1"/>
    <col min="7" max="7" width="10.875" style="3" customWidth="1"/>
    <col min="8" max="8" width="11.75" style="3" customWidth="1"/>
    <col min="9" max="9" width="11" style="3" customWidth="1"/>
    <col min="10" max="10" width="11.875" style="3" customWidth="1"/>
    <col min="11" max="11" width="11.375" style="3" customWidth="1"/>
    <col min="12" max="12" width="11" style="3" customWidth="1"/>
    <col min="13" max="13" width="11.625" style="3" customWidth="1"/>
    <col min="14" max="14" width="9" style="3"/>
    <col min="15" max="15" width="11.375" style="3" customWidth="1"/>
    <col min="16" max="19" width="9" style="3"/>
    <col min="20" max="20" width="10.25" style="3" customWidth="1"/>
    <col min="21" max="21" width="9" style="3"/>
    <col min="22" max="22" width="10.625" style="3" customWidth="1"/>
    <col min="23" max="23" width="9" style="3"/>
    <col min="24" max="24" width="11.5" style="3" customWidth="1"/>
    <col min="25" max="16384" width="9" style="3"/>
  </cols>
  <sheetData>
    <row r="1" spans="1:25" ht="25.5">
      <c r="A1" s="92" t="s">
        <v>168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</row>
    <row r="2" spans="1:25">
      <c r="A2" s="93" t="s">
        <v>1</v>
      </c>
      <c r="B2" s="93" t="s">
        <v>2</v>
      </c>
      <c r="C2" s="93" t="s">
        <v>3</v>
      </c>
      <c r="D2" s="93" t="s">
        <v>4</v>
      </c>
      <c r="E2" s="4" t="s">
        <v>169</v>
      </c>
      <c r="F2" s="4" t="s">
        <v>170</v>
      </c>
      <c r="G2" s="4" t="s">
        <v>171</v>
      </c>
      <c r="H2" s="4" t="s">
        <v>172</v>
      </c>
      <c r="I2" s="4" t="s">
        <v>173</v>
      </c>
      <c r="J2" s="4" t="s">
        <v>174</v>
      </c>
      <c r="K2" s="4" t="s">
        <v>175</v>
      </c>
      <c r="L2" s="4" t="s">
        <v>176</v>
      </c>
      <c r="M2" s="4" t="s">
        <v>177</v>
      </c>
      <c r="N2" s="4" t="s">
        <v>178</v>
      </c>
      <c r="O2" s="4" t="s">
        <v>179</v>
      </c>
      <c r="P2" s="4" t="s">
        <v>180</v>
      </c>
      <c r="Q2" s="4" t="s">
        <v>181</v>
      </c>
      <c r="R2" s="4" t="s">
        <v>182</v>
      </c>
      <c r="S2" s="4" t="s">
        <v>183</v>
      </c>
      <c r="T2" s="4" t="s">
        <v>184</v>
      </c>
      <c r="U2" s="4" t="s">
        <v>185</v>
      </c>
      <c r="V2" s="4" t="s">
        <v>186</v>
      </c>
      <c r="W2" s="4" t="s">
        <v>187</v>
      </c>
      <c r="X2" s="93" t="s">
        <v>16</v>
      </c>
      <c r="Y2" s="93" t="s">
        <v>17</v>
      </c>
    </row>
    <row r="3" spans="1:25">
      <c r="A3" s="94"/>
      <c r="B3" s="94"/>
      <c r="C3" s="94"/>
      <c r="D3" s="94"/>
      <c r="E3" s="4" t="s">
        <v>328</v>
      </c>
      <c r="F3" s="4" t="s">
        <v>329</v>
      </c>
      <c r="G3" s="4" t="s">
        <v>329</v>
      </c>
      <c r="H3" s="4" t="s">
        <v>329</v>
      </c>
      <c r="I3" s="4" t="s">
        <v>330</v>
      </c>
      <c r="J3" s="4" t="s">
        <v>330</v>
      </c>
      <c r="K3" s="4" t="s">
        <v>330</v>
      </c>
      <c r="L3" s="4" t="s">
        <v>330</v>
      </c>
      <c r="M3" s="4" t="s">
        <v>330</v>
      </c>
      <c r="N3" s="4" t="s">
        <v>327</v>
      </c>
      <c r="O3" s="4" t="s">
        <v>327</v>
      </c>
      <c r="P3" s="4" t="s">
        <v>327</v>
      </c>
      <c r="Q3" s="4" t="s">
        <v>327</v>
      </c>
      <c r="R3" s="4" t="s">
        <v>325</v>
      </c>
      <c r="S3" s="4" t="s">
        <v>327</v>
      </c>
      <c r="T3" s="4" t="s">
        <v>326</v>
      </c>
      <c r="U3" s="4" t="s">
        <v>327</v>
      </c>
      <c r="V3" s="4" t="s">
        <v>327</v>
      </c>
      <c r="W3" s="4" t="s">
        <v>327</v>
      </c>
      <c r="X3" s="94"/>
      <c r="Y3" s="94"/>
    </row>
    <row r="4" spans="1:25">
      <c r="A4" s="5" t="s">
        <v>18</v>
      </c>
      <c r="B4" s="6" t="s">
        <v>19</v>
      </c>
      <c r="C4" s="6"/>
      <c r="D4" s="7" t="s">
        <v>20</v>
      </c>
      <c r="E4" s="8">
        <f>E5+E32+E39</f>
        <v>122101296.54000002</v>
      </c>
      <c r="F4" s="8">
        <f t="shared" ref="F4:W4" si="0">F5+F32+F39</f>
        <v>44345493.729999997</v>
      </c>
      <c r="G4" s="8">
        <f t="shared" si="0"/>
        <v>37440106.200000003</v>
      </c>
      <c r="H4" s="8">
        <f t="shared" si="0"/>
        <v>49892217.040000007</v>
      </c>
      <c r="I4" s="8">
        <f t="shared" si="0"/>
        <v>150258292.59999999</v>
      </c>
      <c r="J4" s="8">
        <f t="shared" si="0"/>
        <v>24627260.030000001</v>
      </c>
      <c r="K4" s="8">
        <f t="shared" si="0"/>
        <v>57540085.280000001</v>
      </c>
      <c r="L4" s="8">
        <f t="shared" si="0"/>
        <v>23220012.969999999</v>
      </c>
      <c r="M4" s="8">
        <f t="shared" si="0"/>
        <v>52799914.879999995</v>
      </c>
      <c r="N4" s="8">
        <f t="shared" si="0"/>
        <v>15938192.27</v>
      </c>
      <c r="O4" s="8">
        <f t="shared" si="0"/>
        <v>17860308.550000001</v>
      </c>
      <c r="P4" s="8">
        <f t="shared" si="0"/>
        <v>10724891.069999998</v>
      </c>
      <c r="Q4" s="8">
        <f t="shared" si="0"/>
        <v>16339351.73</v>
      </c>
      <c r="R4" s="8">
        <f t="shared" si="0"/>
        <v>3170256.58</v>
      </c>
      <c r="S4" s="8">
        <f t="shared" si="0"/>
        <v>16480271.069999998</v>
      </c>
      <c r="T4" s="8">
        <f t="shared" si="0"/>
        <v>59372813.200000003</v>
      </c>
      <c r="U4" s="8">
        <f t="shared" si="0"/>
        <v>8021487.8499999996</v>
      </c>
      <c r="V4" s="8">
        <f t="shared" si="0"/>
        <v>55588445.200000003</v>
      </c>
      <c r="W4" s="8">
        <f t="shared" si="0"/>
        <v>8868806.9499999993</v>
      </c>
      <c r="X4" s="8">
        <f t="shared" ref="X4:X67" si="1">SUM(E4:W4)</f>
        <v>774589503.74000025</v>
      </c>
      <c r="Y4" s="7"/>
    </row>
    <row r="5" spans="1:25">
      <c r="A5" s="5" t="s">
        <v>21</v>
      </c>
      <c r="B5" s="6" t="s">
        <v>22</v>
      </c>
      <c r="C5" s="6"/>
      <c r="D5" s="7" t="s">
        <v>20</v>
      </c>
      <c r="E5" s="8">
        <f>E6+E9+E13+E16+E21+E26+E28+E30+E31</f>
        <v>100781889.71000001</v>
      </c>
      <c r="F5" s="8">
        <f t="shared" ref="F5:W5" si="2">F6+F9+F13+F16+F21+F26+F28+F30+F31</f>
        <v>36145363.439999998</v>
      </c>
      <c r="G5" s="8">
        <f t="shared" si="2"/>
        <v>30316948</v>
      </c>
      <c r="H5" s="8">
        <f t="shared" si="2"/>
        <v>41486423.950000003</v>
      </c>
      <c r="I5" s="8">
        <f t="shared" si="2"/>
        <v>125736116</v>
      </c>
      <c r="J5" s="8">
        <f t="shared" si="2"/>
        <v>20545949.150000002</v>
      </c>
      <c r="K5" s="8">
        <f t="shared" si="2"/>
        <v>47946921.550000004</v>
      </c>
      <c r="L5" s="8">
        <f t="shared" si="2"/>
        <v>19459018.849999998</v>
      </c>
      <c r="M5" s="8">
        <f t="shared" si="2"/>
        <v>44827315.439999998</v>
      </c>
      <c r="N5" s="8">
        <f t="shared" si="2"/>
        <v>13139128.559999999</v>
      </c>
      <c r="O5" s="8">
        <f t="shared" si="2"/>
        <v>15311621.710000001</v>
      </c>
      <c r="P5" s="8">
        <f t="shared" si="2"/>
        <v>9468544.5599999987</v>
      </c>
      <c r="Q5" s="8">
        <f t="shared" si="2"/>
        <v>13870519.440000001</v>
      </c>
      <c r="R5" s="8">
        <f t="shared" si="2"/>
        <v>2676341.15</v>
      </c>
      <c r="S5" s="8">
        <f t="shared" si="2"/>
        <v>14718532.559999999</v>
      </c>
      <c r="T5" s="8">
        <f t="shared" si="2"/>
        <v>48755932.109999999</v>
      </c>
      <c r="U5" s="8">
        <f t="shared" si="2"/>
        <v>6800412.9100000001</v>
      </c>
      <c r="V5" s="8">
        <f t="shared" si="2"/>
        <v>47900742.289999999</v>
      </c>
      <c r="W5" s="8">
        <f t="shared" si="2"/>
        <v>7057592</v>
      </c>
      <c r="X5" s="8">
        <f t="shared" si="1"/>
        <v>646945313.37999988</v>
      </c>
      <c r="Y5" s="7"/>
    </row>
    <row r="6" spans="1:25">
      <c r="A6" s="5" t="s">
        <v>23</v>
      </c>
      <c r="B6" s="6" t="s">
        <v>24</v>
      </c>
      <c r="C6" s="6"/>
      <c r="D6" s="7" t="s">
        <v>20</v>
      </c>
      <c r="E6" s="8">
        <f>E7+E8</f>
        <v>14812560</v>
      </c>
      <c r="F6" s="8">
        <f t="shared" ref="F6:W6" si="3">F7+F8</f>
        <v>5237304</v>
      </c>
      <c r="G6" s="8">
        <f t="shared" si="3"/>
        <v>4563828</v>
      </c>
      <c r="H6" s="8">
        <f t="shared" si="3"/>
        <v>5675934.2400000002</v>
      </c>
      <c r="I6" s="8">
        <f t="shared" si="3"/>
        <v>18889764</v>
      </c>
      <c r="J6" s="8">
        <f t="shared" si="3"/>
        <v>3241044</v>
      </c>
      <c r="K6" s="8">
        <f t="shared" si="3"/>
        <v>6530264.4000000004</v>
      </c>
      <c r="L6" s="8">
        <f t="shared" si="3"/>
        <v>3106428</v>
      </c>
      <c r="M6" s="8">
        <f t="shared" si="3"/>
        <v>6377316</v>
      </c>
      <c r="N6" s="8">
        <f t="shared" si="3"/>
        <v>2268000</v>
      </c>
      <c r="O6" s="8">
        <f t="shared" si="3"/>
        <v>2348088</v>
      </c>
      <c r="P6" s="8">
        <f t="shared" si="3"/>
        <v>1489512</v>
      </c>
      <c r="Q6" s="8">
        <f t="shared" si="3"/>
        <v>2299524</v>
      </c>
      <c r="R6" s="8">
        <f t="shared" si="3"/>
        <v>421920</v>
      </c>
      <c r="S6" s="8">
        <f t="shared" si="3"/>
        <v>2426772</v>
      </c>
      <c r="T6" s="8">
        <f t="shared" si="3"/>
        <v>6421874.3999999994</v>
      </c>
      <c r="U6" s="8">
        <f t="shared" si="3"/>
        <v>1009003.2</v>
      </c>
      <c r="V6" s="8">
        <f t="shared" si="3"/>
        <v>7917096</v>
      </c>
      <c r="W6" s="8">
        <f t="shared" si="3"/>
        <v>1105920</v>
      </c>
      <c r="X6" s="8">
        <f t="shared" si="1"/>
        <v>96142152.24000001</v>
      </c>
      <c r="Y6" s="7"/>
    </row>
    <row r="7" spans="1:25" ht="22.5">
      <c r="A7" s="5" t="s">
        <v>25</v>
      </c>
      <c r="B7" s="6" t="s">
        <v>26</v>
      </c>
      <c r="C7" s="6" t="s">
        <v>27</v>
      </c>
      <c r="D7" s="7" t="s">
        <v>28</v>
      </c>
      <c r="E7" s="9">
        <v>8150508</v>
      </c>
      <c r="F7" s="9">
        <f>256075*12</f>
        <v>3072900</v>
      </c>
      <c r="G7" s="9">
        <v>2444388</v>
      </c>
      <c r="H7" s="9">
        <f>302880*12</f>
        <v>3634560</v>
      </c>
      <c r="I7" s="9">
        <f>888555*12</f>
        <v>10662660</v>
      </c>
      <c r="J7" s="9">
        <v>1661112</v>
      </c>
      <c r="K7" s="9">
        <f>319972.7*12</f>
        <v>3839672.4000000004</v>
      </c>
      <c r="L7" s="9">
        <f>131269*12</f>
        <v>1575228</v>
      </c>
      <c r="M7" s="9">
        <f>313331*12</f>
        <v>3759972</v>
      </c>
      <c r="N7" s="9">
        <f>97000*12</f>
        <v>1164000</v>
      </c>
      <c r="O7" s="9">
        <f>118641*12</f>
        <v>1423692</v>
      </c>
      <c r="P7" s="9">
        <f>72535*12</f>
        <v>870420</v>
      </c>
      <c r="Q7" s="9">
        <v>1229028</v>
      </c>
      <c r="R7" s="9">
        <v>208308</v>
      </c>
      <c r="S7" s="9">
        <f>115933*12</f>
        <v>1391196</v>
      </c>
      <c r="T7" s="9">
        <f>344495.8*12</f>
        <v>4133949.5999999996</v>
      </c>
      <c r="U7" s="9">
        <f>49368.2*12</f>
        <v>592418.39999999991</v>
      </c>
      <c r="V7" s="9">
        <f>350383*12</f>
        <v>4204596</v>
      </c>
      <c r="W7" s="9">
        <v>657084</v>
      </c>
      <c r="X7" s="8">
        <f t="shared" si="1"/>
        <v>54675692.399999999</v>
      </c>
      <c r="Y7" s="10"/>
    </row>
    <row r="8" spans="1:25" ht="22.5">
      <c r="A8" s="5" t="s">
        <v>29</v>
      </c>
      <c r="B8" s="6" t="s">
        <v>30</v>
      </c>
      <c r="C8" s="6" t="s">
        <v>27</v>
      </c>
      <c r="D8" s="7" t="s">
        <v>28</v>
      </c>
      <c r="E8" s="9">
        <v>6662052</v>
      </c>
      <c r="F8" s="9">
        <f>180367*12</f>
        <v>2164404</v>
      </c>
      <c r="G8" s="9">
        <v>2119440</v>
      </c>
      <c r="H8" s="9">
        <f>170114.52*12</f>
        <v>2041374.2399999998</v>
      </c>
      <c r="I8" s="9">
        <f>685592*12</f>
        <v>8227104</v>
      </c>
      <c r="J8" s="9">
        <v>1579932</v>
      </c>
      <c r="K8" s="9">
        <f>224216*12</f>
        <v>2690592</v>
      </c>
      <c r="L8" s="9">
        <f>127600*12</f>
        <v>1531200</v>
      </c>
      <c r="M8" s="9">
        <f>218112*12</f>
        <v>2617344</v>
      </c>
      <c r="N8" s="9">
        <f>92000*12</f>
        <v>1104000</v>
      </c>
      <c r="O8" s="9">
        <f>77033*12</f>
        <v>924396</v>
      </c>
      <c r="P8" s="9">
        <f>51591*12</f>
        <v>619092</v>
      </c>
      <c r="Q8" s="9">
        <v>1070496</v>
      </c>
      <c r="R8" s="9">
        <v>213612</v>
      </c>
      <c r="S8" s="9">
        <f>86298*12</f>
        <v>1035576</v>
      </c>
      <c r="T8" s="9">
        <f>190660.4*12</f>
        <v>2287924.7999999998</v>
      </c>
      <c r="U8" s="9">
        <f>34715.4*12</f>
        <v>416584.80000000005</v>
      </c>
      <c r="V8" s="9">
        <f>309375*12</f>
        <v>3712500</v>
      </c>
      <c r="W8" s="9">
        <v>448836</v>
      </c>
      <c r="X8" s="8">
        <f t="shared" si="1"/>
        <v>41466459.839999996</v>
      </c>
      <c r="Y8" s="7"/>
    </row>
    <row r="9" spans="1:25">
      <c r="A9" s="5" t="s">
        <v>31</v>
      </c>
      <c r="B9" s="6" t="s">
        <v>32</v>
      </c>
      <c r="C9" s="6"/>
      <c r="D9" s="7" t="s">
        <v>20</v>
      </c>
      <c r="E9" s="8">
        <f>E10+E11</f>
        <v>1417548</v>
      </c>
      <c r="F9" s="8">
        <f t="shared" ref="F9:W9" si="4">F10+F11</f>
        <v>518496</v>
      </c>
      <c r="G9" s="8">
        <f t="shared" si="4"/>
        <v>428496</v>
      </c>
      <c r="H9" s="8">
        <f t="shared" si="4"/>
        <v>607344</v>
      </c>
      <c r="I9" s="8">
        <f t="shared" si="4"/>
        <v>1855248</v>
      </c>
      <c r="J9" s="8">
        <f t="shared" si="4"/>
        <v>300516</v>
      </c>
      <c r="K9" s="8">
        <f t="shared" si="4"/>
        <v>703668</v>
      </c>
      <c r="L9" s="8">
        <f t="shared" si="4"/>
        <v>289656</v>
      </c>
      <c r="M9" s="8">
        <f t="shared" si="4"/>
        <v>667680</v>
      </c>
      <c r="N9" s="8">
        <f t="shared" si="4"/>
        <v>214776</v>
      </c>
      <c r="O9" s="8">
        <f t="shared" si="4"/>
        <v>256704</v>
      </c>
      <c r="P9" s="8">
        <f t="shared" si="4"/>
        <v>155208</v>
      </c>
      <c r="Q9" s="8">
        <f t="shared" si="4"/>
        <v>225300</v>
      </c>
      <c r="R9" s="8">
        <f t="shared" si="4"/>
        <v>37524</v>
      </c>
      <c r="S9" s="8">
        <f t="shared" si="4"/>
        <v>240816</v>
      </c>
      <c r="T9" s="8">
        <f t="shared" si="4"/>
        <v>728232</v>
      </c>
      <c r="U9" s="8">
        <f t="shared" si="4"/>
        <v>112128</v>
      </c>
      <c r="V9" s="8">
        <f t="shared" si="4"/>
        <v>773520</v>
      </c>
      <c r="W9" s="8">
        <f t="shared" si="4"/>
        <v>117672</v>
      </c>
      <c r="X9" s="8">
        <f t="shared" si="1"/>
        <v>9650532</v>
      </c>
      <c r="Y9" s="7"/>
    </row>
    <row r="10" spans="1:25" ht="22.5">
      <c r="A10" s="5" t="s">
        <v>33</v>
      </c>
      <c r="B10" s="6" t="s">
        <v>34</v>
      </c>
      <c r="C10" s="6" t="s">
        <v>27</v>
      </c>
      <c r="D10" s="7" t="s">
        <v>28</v>
      </c>
      <c r="E10" s="9">
        <v>18348</v>
      </c>
      <c r="F10" s="9">
        <f>528*12</f>
        <v>6336</v>
      </c>
      <c r="G10" s="9">
        <v>6096</v>
      </c>
      <c r="H10" s="9">
        <f>452*12</f>
        <v>5424</v>
      </c>
      <c r="I10" s="9">
        <f>1924*12</f>
        <v>23088</v>
      </c>
      <c r="J10" s="9">
        <v>4836</v>
      </c>
      <c r="K10" s="9">
        <f>559*12</f>
        <v>6708</v>
      </c>
      <c r="L10" s="9">
        <f>378*12</f>
        <v>4536</v>
      </c>
      <c r="M10" s="9">
        <f>640*12</f>
        <v>7680</v>
      </c>
      <c r="N10" s="9">
        <f>298*12</f>
        <v>3576</v>
      </c>
      <c r="O10" s="9">
        <f>272*12</f>
        <v>3264</v>
      </c>
      <c r="P10" s="9">
        <v>2088</v>
      </c>
      <c r="Q10" s="9">
        <v>3540</v>
      </c>
      <c r="R10" s="9">
        <v>564</v>
      </c>
      <c r="S10" s="9">
        <f>268*12</f>
        <v>3216</v>
      </c>
      <c r="T10" s="9">
        <f>406*12</f>
        <v>4872</v>
      </c>
      <c r="U10" s="9">
        <f>104*12</f>
        <v>1248</v>
      </c>
      <c r="V10" s="9">
        <f>1100*12</f>
        <v>13200</v>
      </c>
      <c r="W10" s="9">
        <v>1512</v>
      </c>
      <c r="X10" s="8">
        <f t="shared" si="1"/>
        <v>120132</v>
      </c>
      <c r="Y10" s="7"/>
    </row>
    <row r="11" spans="1:25">
      <c r="A11" s="5" t="s">
        <v>35</v>
      </c>
      <c r="B11" s="6" t="s">
        <v>36</v>
      </c>
      <c r="C11" s="6"/>
      <c r="D11" s="7" t="s">
        <v>20</v>
      </c>
      <c r="E11" s="8">
        <f>E12</f>
        <v>1399200</v>
      </c>
      <c r="F11" s="8">
        <f t="shared" ref="F11:W11" si="5">F12</f>
        <v>512160</v>
      </c>
      <c r="G11" s="8">
        <f t="shared" si="5"/>
        <v>422400</v>
      </c>
      <c r="H11" s="8">
        <f t="shared" si="5"/>
        <v>601920</v>
      </c>
      <c r="I11" s="8">
        <f t="shared" si="5"/>
        <v>1832160</v>
      </c>
      <c r="J11" s="8">
        <f t="shared" si="5"/>
        <v>295680</v>
      </c>
      <c r="K11" s="8">
        <f t="shared" si="5"/>
        <v>696960</v>
      </c>
      <c r="L11" s="8">
        <f t="shared" si="5"/>
        <v>285120</v>
      </c>
      <c r="M11" s="8">
        <f t="shared" si="5"/>
        <v>660000</v>
      </c>
      <c r="N11" s="8">
        <f t="shared" si="5"/>
        <v>211200</v>
      </c>
      <c r="O11" s="8">
        <f t="shared" si="5"/>
        <v>253440</v>
      </c>
      <c r="P11" s="8">
        <f t="shared" si="5"/>
        <v>153120</v>
      </c>
      <c r="Q11" s="8">
        <f t="shared" si="5"/>
        <v>221760</v>
      </c>
      <c r="R11" s="8">
        <f t="shared" si="5"/>
        <v>36960</v>
      </c>
      <c r="S11" s="8">
        <f t="shared" si="5"/>
        <v>237600</v>
      </c>
      <c r="T11" s="8">
        <f t="shared" si="5"/>
        <v>723360</v>
      </c>
      <c r="U11" s="8">
        <f t="shared" si="5"/>
        <v>110880</v>
      </c>
      <c r="V11" s="8">
        <f t="shared" si="5"/>
        <v>760320</v>
      </c>
      <c r="W11" s="8">
        <f t="shared" si="5"/>
        <v>116160</v>
      </c>
      <c r="X11" s="8">
        <f t="shared" si="1"/>
        <v>9530400</v>
      </c>
      <c r="Y11" s="7"/>
    </row>
    <row r="12" spans="1:25">
      <c r="A12" s="5" t="s">
        <v>37</v>
      </c>
      <c r="B12" s="6" t="s">
        <v>188</v>
      </c>
      <c r="C12" s="6" t="s">
        <v>27</v>
      </c>
      <c r="D12" s="7" t="s">
        <v>20</v>
      </c>
      <c r="E12" s="8">
        <f>440*12*E62</f>
        <v>1399200</v>
      </c>
      <c r="F12" s="8">
        <f t="shared" ref="F12:W12" si="6">440*12*F62</f>
        <v>512160</v>
      </c>
      <c r="G12" s="8">
        <f t="shared" si="6"/>
        <v>422400</v>
      </c>
      <c r="H12" s="8">
        <f t="shared" si="6"/>
        <v>601920</v>
      </c>
      <c r="I12" s="8">
        <f t="shared" si="6"/>
        <v>1832160</v>
      </c>
      <c r="J12" s="8">
        <f t="shared" si="6"/>
        <v>295680</v>
      </c>
      <c r="K12" s="8">
        <f t="shared" si="6"/>
        <v>696960</v>
      </c>
      <c r="L12" s="8">
        <f t="shared" si="6"/>
        <v>285120</v>
      </c>
      <c r="M12" s="8">
        <f t="shared" si="6"/>
        <v>660000</v>
      </c>
      <c r="N12" s="8">
        <f t="shared" si="6"/>
        <v>211200</v>
      </c>
      <c r="O12" s="8">
        <f t="shared" si="6"/>
        <v>253440</v>
      </c>
      <c r="P12" s="8">
        <f t="shared" si="6"/>
        <v>153120</v>
      </c>
      <c r="Q12" s="8">
        <f t="shared" si="6"/>
        <v>221760</v>
      </c>
      <c r="R12" s="8">
        <f t="shared" si="6"/>
        <v>36960</v>
      </c>
      <c r="S12" s="8">
        <f t="shared" si="6"/>
        <v>237600</v>
      </c>
      <c r="T12" s="8">
        <f t="shared" si="6"/>
        <v>723360</v>
      </c>
      <c r="U12" s="8">
        <f t="shared" si="6"/>
        <v>110880</v>
      </c>
      <c r="V12" s="8">
        <f t="shared" si="6"/>
        <v>760320</v>
      </c>
      <c r="W12" s="8">
        <f t="shared" si="6"/>
        <v>116160</v>
      </c>
      <c r="X12" s="8">
        <f t="shared" si="1"/>
        <v>9530400</v>
      </c>
      <c r="Y12" s="7"/>
    </row>
    <row r="13" spans="1:25" ht="33.75">
      <c r="A13" s="5" t="s">
        <v>38</v>
      </c>
      <c r="B13" s="6" t="s">
        <v>39</v>
      </c>
      <c r="C13" s="6"/>
      <c r="D13" s="7" t="s">
        <v>40</v>
      </c>
      <c r="E13" s="8">
        <f>E14+E15</f>
        <v>691652.58</v>
      </c>
      <c r="F13" s="8">
        <f t="shared" ref="F13:W13" si="7">F14+F15</f>
        <v>240341.14</v>
      </c>
      <c r="G13" s="8">
        <f t="shared" si="7"/>
        <v>203736</v>
      </c>
      <c r="H13" s="8">
        <f t="shared" si="7"/>
        <v>270296.58</v>
      </c>
      <c r="I13" s="8">
        <f t="shared" si="7"/>
        <v>848760</v>
      </c>
      <c r="J13" s="8">
        <f t="shared" si="7"/>
        <v>137497.72</v>
      </c>
      <c r="K13" s="8">
        <f t="shared" si="7"/>
        <v>336193.72</v>
      </c>
      <c r="L13" s="8">
        <f t="shared" si="7"/>
        <v>129610.28</v>
      </c>
      <c r="M13" s="8">
        <f t="shared" si="7"/>
        <v>305033.14</v>
      </c>
      <c r="N13" s="8">
        <f t="shared" si="7"/>
        <v>87786.86</v>
      </c>
      <c r="O13" s="8">
        <f t="shared" si="7"/>
        <v>102284.58</v>
      </c>
      <c r="P13" s="8">
        <f t="shared" si="7"/>
        <v>64254.86</v>
      </c>
      <c r="Q13" s="8">
        <f t="shared" si="7"/>
        <v>94373.14</v>
      </c>
      <c r="R13" s="8">
        <f t="shared" si="7"/>
        <v>17797.72</v>
      </c>
      <c r="S13" s="8">
        <f t="shared" si="7"/>
        <v>98550.86</v>
      </c>
      <c r="T13" s="8">
        <f t="shared" si="7"/>
        <v>321416.58</v>
      </c>
      <c r="U13" s="8">
        <f t="shared" si="7"/>
        <v>47792.58</v>
      </c>
      <c r="V13" s="8">
        <f t="shared" si="7"/>
        <v>324783.42</v>
      </c>
      <c r="W13" s="8">
        <f t="shared" si="7"/>
        <v>48000</v>
      </c>
      <c r="X13" s="8">
        <f t="shared" si="1"/>
        <v>4370161.7600000007</v>
      </c>
      <c r="Y13" s="7"/>
    </row>
    <row r="14" spans="1:25" ht="22.5">
      <c r="A14" s="5" t="s">
        <v>41</v>
      </c>
      <c r="B14" s="6" t="s">
        <v>189</v>
      </c>
      <c r="C14" s="6" t="s">
        <v>27</v>
      </c>
      <c r="D14" s="7" t="s">
        <v>42</v>
      </c>
      <c r="E14" s="8">
        <f>ROUND(E30/0.07*0.005,2)</f>
        <v>345826.29</v>
      </c>
      <c r="F14" s="8">
        <f t="shared" ref="F14:W14" si="8">ROUND(F30/0.07*0.005,2)</f>
        <v>120170.57</v>
      </c>
      <c r="G14" s="8">
        <f t="shared" si="8"/>
        <v>101868</v>
      </c>
      <c r="H14" s="8">
        <f t="shared" si="8"/>
        <v>135148.29</v>
      </c>
      <c r="I14" s="8">
        <f t="shared" si="8"/>
        <v>424380</v>
      </c>
      <c r="J14" s="8">
        <f t="shared" si="8"/>
        <v>68748.86</v>
      </c>
      <c r="K14" s="8">
        <f t="shared" si="8"/>
        <v>168096.86</v>
      </c>
      <c r="L14" s="8">
        <f t="shared" si="8"/>
        <v>64805.14</v>
      </c>
      <c r="M14" s="8">
        <f t="shared" si="8"/>
        <v>152516.57</v>
      </c>
      <c r="N14" s="8">
        <f t="shared" si="8"/>
        <v>43893.43</v>
      </c>
      <c r="O14" s="8">
        <f t="shared" si="8"/>
        <v>51142.29</v>
      </c>
      <c r="P14" s="8">
        <f t="shared" si="8"/>
        <v>32127.43</v>
      </c>
      <c r="Q14" s="8">
        <f t="shared" si="8"/>
        <v>47186.57</v>
      </c>
      <c r="R14" s="8">
        <f t="shared" si="8"/>
        <v>8898.86</v>
      </c>
      <c r="S14" s="8">
        <f t="shared" si="8"/>
        <v>49275.43</v>
      </c>
      <c r="T14" s="8">
        <f t="shared" si="8"/>
        <v>160708.29</v>
      </c>
      <c r="U14" s="8">
        <f t="shared" si="8"/>
        <v>23896.29</v>
      </c>
      <c r="V14" s="8">
        <f t="shared" si="8"/>
        <v>162391.71</v>
      </c>
      <c r="W14" s="8">
        <f t="shared" si="8"/>
        <v>24000</v>
      </c>
      <c r="X14" s="8">
        <f t="shared" si="1"/>
        <v>2185080.8800000004</v>
      </c>
      <c r="Y14" s="7"/>
    </row>
    <row r="15" spans="1:25" ht="22.5">
      <c r="A15" s="5" t="s">
        <v>43</v>
      </c>
      <c r="B15" s="6" t="s">
        <v>190</v>
      </c>
      <c r="C15" s="6" t="s">
        <v>27</v>
      </c>
      <c r="D15" s="7" t="s">
        <v>42</v>
      </c>
      <c r="E15" s="8">
        <f>ROUND(E30/0.07*0.005,2)</f>
        <v>345826.29</v>
      </c>
      <c r="F15" s="8">
        <f t="shared" ref="F15:W15" si="9">ROUND(F30/0.07*0.005,2)</f>
        <v>120170.57</v>
      </c>
      <c r="G15" s="8">
        <f t="shared" si="9"/>
        <v>101868</v>
      </c>
      <c r="H15" s="8">
        <f t="shared" si="9"/>
        <v>135148.29</v>
      </c>
      <c r="I15" s="8">
        <f t="shared" si="9"/>
        <v>424380</v>
      </c>
      <c r="J15" s="8">
        <f t="shared" si="9"/>
        <v>68748.86</v>
      </c>
      <c r="K15" s="8">
        <f t="shared" si="9"/>
        <v>168096.86</v>
      </c>
      <c r="L15" s="8">
        <f t="shared" si="9"/>
        <v>64805.14</v>
      </c>
      <c r="M15" s="8">
        <f t="shared" si="9"/>
        <v>152516.57</v>
      </c>
      <c r="N15" s="8">
        <f t="shared" si="9"/>
        <v>43893.43</v>
      </c>
      <c r="O15" s="8">
        <f t="shared" si="9"/>
        <v>51142.29</v>
      </c>
      <c r="P15" s="8">
        <f t="shared" si="9"/>
        <v>32127.43</v>
      </c>
      <c r="Q15" s="8">
        <f t="shared" si="9"/>
        <v>47186.57</v>
      </c>
      <c r="R15" s="8">
        <f t="shared" si="9"/>
        <v>8898.86</v>
      </c>
      <c r="S15" s="8">
        <f t="shared" si="9"/>
        <v>49275.43</v>
      </c>
      <c r="T15" s="8">
        <f t="shared" si="9"/>
        <v>160708.29</v>
      </c>
      <c r="U15" s="8">
        <f t="shared" si="9"/>
        <v>23896.29</v>
      </c>
      <c r="V15" s="8">
        <f t="shared" si="9"/>
        <v>162391.71</v>
      </c>
      <c r="W15" s="8">
        <f t="shared" si="9"/>
        <v>24000</v>
      </c>
      <c r="X15" s="8">
        <f t="shared" si="1"/>
        <v>2185080.8800000004</v>
      </c>
      <c r="Y15" s="7"/>
    </row>
    <row r="16" spans="1:25">
      <c r="A16" s="5" t="s">
        <v>44</v>
      </c>
      <c r="B16" s="6" t="s">
        <v>45</v>
      </c>
      <c r="C16" s="6"/>
      <c r="D16" s="7" t="s">
        <v>20</v>
      </c>
      <c r="E16" s="8">
        <f>E17+E18+E19+E20</f>
        <v>53427416</v>
      </c>
      <c r="F16" s="8">
        <f t="shared" ref="F16:W16" si="10">F17+F18+F19+F20</f>
        <v>19574212</v>
      </c>
      <c r="G16" s="8">
        <f t="shared" si="10"/>
        <v>16156504</v>
      </c>
      <c r="H16" s="8">
        <f t="shared" si="10"/>
        <v>23039800</v>
      </c>
      <c r="I16" s="8">
        <f t="shared" si="10"/>
        <v>66796904</v>
      </c>
      <c r="J16" s="8">
        <f t="shared" si="10"/>
        <v>10816992</v>
      </c>
      <c r="K16" s="8">
        <f t="shared" si="10"/>
        <v>25584272</v>
      </c>
      <c r="L16" s="8">
        <f t="shared" si="10"/>
        <v>10230472</v>
      </c>
      <c r="M16" s="8">
        <f t="shared" si="10"/>
        <v>24055828</v>
      </c>
      <c r="N16" s="8">
        <f t="shared" si="10"/>
        <v>6705944</v>
      </c>
      <c r="O16" s="8">
        <f t="shared" si="10"/>
        <v>8104024</v>
      </c>
      <c r="P16" s="8">
        <f t="shared" si="10"/>
        <v>4932356</v>
      </c>
      <c r="Q16" s="8">
        <f t="shared" si="10"/>
        <v>7098904</v>
      </c>
      <c r="R16" s="8">
        <f t="shared" si="10"/>
        <v>1416000</v>
      </c>
      <c r="S16" s="8">
        <f t="shared" si="10"/>
        <v>7616156</v>
      </c>
      <c r="T16" s="8">
        <f t="shared" si="10"/>
        <v>27142080</v>
      </c>
      <c r="U16" s="8">
        <f t="shared" si="10"/>
        <v>3528616</v>
      </c>
      <c r="V16" s="8">
        <f t="shared" si="10"/>
        <v>24594872</v>
      </c>
      <c r="W16" s="8">
        <f t="shared" si="10"/>
        <v>3674000</v>
      </c>
      <c r="X16" s="8">
        <f t="shared" si="1"/>
        <v>344495352</v>
      </c>
      <c r="Y16" s="7"/>
    </row>
    <row r="17" spans="1:25" ht="22.5">
      <c r="A17" s="5" t="s">
        <v>46</v>
      </c>
      <c r="B17" s="6" t="s">
        <v>47</v>
      </c>
      <c r="C17" s="6" t="s">
        <v>27</v>
      </c>
      <c r="D17" s="7" t="s">
        <v>191</v>
      </c>
      <c r="E17" s="9">
        <v>48544000</v>
      </c>
      <c r="F17" s="9">
        <v>17760000</v>
      </c>
      <c r="G17" s="9">
        <v>14374500</v>
      </c>
      <c r="H17" s="9">
        <v>20905000</v>
      </c>
      <c r="I17" s="9">
        <v>60508800</v>
      </c>
      <c r="J17" s="9">
        <v>9680000</v>
      </c>
      <c r="K17" s="9">
        <v>22827200</v>
      </c>
      <c r="L17" s="9">
        <v>9116800</v>
      </c>
      <c r="M17" s="9">
        <v>21771200</v>
      </c>
      <c r="N17" s="9">
        <v>6230700</v>
      </c>
      <c r="O17" s="9">
        <v>7567000</v>
      </c>
      <c r="P17" s="9">
        <v>4508000</v>
      </c>
      <c r="Q17" s="9">
        <v>6601000</v>
      </c>
      <c r="R17" s="9">
        <v>1374000</v>
      </c>
      <c r="S17" s="9">
        <v>7084000</v>
      </c>
      <c r="T17" s="9">
        <v>24388000</v>
      </c>
      <c r="U17" s="9">
        <v>3171700</v>
      </c>
      <c r="V17" s="9">
        <v>23402800</v>
      </c>
      <c r="W17" s="9">
        <v>3542000</v>
      </c>
      <c r="X17" s="8">
        <f t="shared" si="1"/>
        <v>313356700</v>
      </c>
      <c r="Y17" s="7"/>
    </row>
    <row r="18" spans="1:25" ht="33.75">
      <c r="A18" s="5" t="s">
        <v>48</v>
      </c>
      <c r="B18" s="6" t="s">
        <v>49</v>
      </c>
      <c r="C18" s="6" t="s">
        <v>27</v>
      </c>
      <c r="D18" s="7" t="s">
        <v>50</v>
      </c>
      <c r="E18" s="9">
        <v>643416</v>
      </c>
      <c r="F18" s="9">
        <v>262212</v>
      </c>
      <c r="G18" s="9">
        <v>502004</v>
      </c>
      <c r="H18" s="9">
        <f>(3160+17740)*12+60000</f>
        <v>310800</v>
      </c>
      <c r="I18" s="9">
        <v>736104</v>
      </c>
      <c r="J18" s="9">
        <v>240992</v>
      </c>
      <c r="K18" s="9">
        <v>645072</v>
      </c>
      <c r="L18" s="9">
        <f>(3460+12346)*12+60000</f>
        <v>249672</v>
      </c>
      <c r="M18" s="9">
        <f>(3520+15199)*12+60000</f>
        <v>284628</v>
      </c>
      <c r="N18" s="9">
        <f>(3075+12362)*12+50000</f>
        <v>235244</v>
      </c>
      <c r="O18" s="9">
        <v>249024</v>
      </c>
      <c r="P18" s="9">
        <v>250356</v>
      </c>
      <c r="Q18" s="9">
        <v>245904</v>
      </c>
      <c r="R18" s="9"/>
      <c r="S18" s="9">
        <f>(3725+15538)*12+10000+21000</f>
        <v>262156</v>
      </c>
      <c r="T18" s="9">
        <f>(3110+15115)*12+(3680+14935)*12+120000</f>
        <v>562080</v>
      </c>
      <c r="U18" s="9">
        <f>(3005+11238)*12+60000</f>
        <v>230916</v>
      </c>
      <c r="V18" s="9">
        <f>(3675+19081)*12+10000+45000</f>
        <v>328072</v>
      </c>
      <c r="W18" s="9"/>
      <c r="X18" s="8">
        <f t="shared" si="1"/>
        <v>6238652</v>
      </c>
      <c r="Y18" s="7"/>
    </row>
    <row r="19" spans="1:25">
      <c r="A19" s="5" t="s">
        <v>51</v>
      </c>
      <c r="B19" s="6" t="s">
        <v>192</v>
      </c>
      <c r="C19" s="6" t="s">
        <v>27</v>
      </c>
      <c r="D19" s="7" t="s">
        <v>20</v>
      </c>
      <c r="E19" s="8">
        <f>E62*500*12</f>
        <v>1590000</v>
      </c>
      <c r="F19" s="8">
        <f t="shared" ref="F19:W19" si="11">F62*500*12</f>
        <v>582000</v>
      </c>
      <c r="G19" s="8">
        <f t="shared" si="11"/>
        <v>480000</v>
      </c>
      <c r="H19" s="8">
        <f t="shared" si="11"/>
        <v>684000</v>
      </c>
      <c r="I19" s="8">
        <f t="shared" si="11"/>
        <v>2082000</v>
      </c>
      <c r="J19" s="8">
        <f t="shared" si="11"/>
        <v>336000</v>
      </c>
      <c r="K19" s="8">
        <f t="shared" si="11"/>
        <v>792000</v>
      </c>
      <c r="L19" s="8">
        <f t="shared" si="11"/>
        <v>324000</v>
      </c>
      <c r="M19" s="8">
        <f t="shared" si="11"/>
        <v>750000</v>
      </c>
      <c r="N19" s="8">
        <f t="shared" si="11"/>
        <v>240000</v>
      </c>
      <c r="O19" s="8">
        <f t="shared" si="11"/>
        <v>288000</v>
      </c>
      <c r="P19" s="8">
        <f t="shared" si="11"/>
        <v>174000</v>
      </c>
      <c r="Q19" s="8">
        <f t="shared" si="11"/>
        <v>252000</v>
      </c>
      <c r="R19" s="8">
        <f t="shared" si="11"/>
        <v>42000</v>
      </c>
      <c r="S19" s="8">
        <f t="shared" si="11"/>
        <v>270000</v>
      </c>
      <c r="T19" s="8">
        <f t="shared" si="11"/>
        <v>822000</v>
      </c>
      <c r="U19" s="8">
        <f t="shared" si="11"/>
        <v>126000</v>
      </c>
      <c r="V19" s="8">
        <f t="shared" si="11"/>
        <v>864000</v>
      </c>
      <c r="W19" s="8">
        <f t="shared" si="11"/>
        <v>132000</v>
      </c>
      <c r="X19" s="8">
        <f t="shared" si="1"/>
        <v>10830000</v>
      </c>
      <c r="Y19" s="7"/>
    </row>
    <row r="20" spans="1:25" ht="22.5">
      <c r="A20" s="5" t="s">
        <v>52</v>
      </c>
      <c r="B20" s="6" t="s">
        <v>193</v>
      </c>
      <c r="C20" s="6" t="s">
        <v>27</v>
      </c>
      <c r="D20" s="7" t="s">
        <v>28</v>
      </c>
      <c r="E20" s="9">
        <f>E62*10000</f>
        <v>2650000</v>
      </c>
      <c r="F20" s="9">
        <f t="shared" ref="F20:M20" si="12">F62*10000</f>
        <v>970000</v>
      </c>
      <c r="G20" s="9">
        <f t="shared" si="12"/>
        <v>800000</v>
      </c>
      <c r="H20" s="9">
        <f t="shared" si="12"/>
        <v>1140000</v>
      </c>
      <c r="I20" s="9">
        <f t="shared" si="12"/>
        <v>3470000</v>
      </c>
      <c r="J20" s="9">
        <f t="shared" si="12"/>
        <v>560000</v>
      </c>
      <c r="K20" s="9">
        <f t="shared" si="12"/>
        <v>1320000</v>
      </c>
      <c r="L20" s="9">
        <f t="shared" si="12"/>
        <v>540000</v>
      </c>
      <c r="M20" s="9">
        <f t="shared" si="12"/>
        <v>1250000</v>
      </c>
      <c r="N20" s="9"/>
      <c r="O20" s="9"/>
      <c r="P20" s="9"/>
      <c r="Q20" s="9"/>
      <c r="R20" s="9"/>
      <c r="S20" s="9"/>
      <c r="T20" s="9">
        <f>T62*10000</f>
        <v>1370000</v>
      </c>
      <c r="U20" s="9"/>
      <c r="V20" s="9"/>
      <c r="W20" s="9"/>
      <c r="X20" s="8">
        <f t="shared" si="1"/>
        <v>14070000</v>
      </c>
      <c r="Y20" s="7"/>
    </row>
    <row r="21" spans="1:25">
      <c r="A21" s="5" t="s">
        <v>53</v>
      </c>
      <c r="B21" s="6" t="s">
        <v>54</v>
      </c>
      <c r="C21" s="6"/>
      <c r="D21" s="7" t="s">
        <v>20</v>
      </c>
      <c r="E21" s="8">
        <f>E22+E23</f>
        <v>8991483.4199999999</v>
      </c>
      <c r="F21" s="8">
        <f t="shared" ref="F21:W21" si="13">F22+F23</f>
        <v>3124434.87</v>
      </c>
      <c r="G21" s="8">
        <f t="shared" si="13"/>
        <v>2648568</v>
      </c>
      <c r="H21" s="8">
        <f t="shared" si="13"/>
        <v>3513855.42</v>
      </c>
      <c r="I21" s="8">
        <f t="shared" si="13"/>
        <v>11033880</v>
      </c>
      <c r="J21" s="8">
        <f t="shared" si="13"/>
        <v>1787470.29</v>
      </c>
      <c r="K21" s="8">
        <f t="shared" si="13"/>
        <v>4370518.29</v>
      </c>
      <c r="L21" s="8">
        <f t="shared" si="13"/>
        <v>1684933.71</v>
      </c>
      <c r="M21" s="8">
        <f t="shared" si="13"/>
        <v>3965430.87</v>
      </c>
      <c r="N21" s="8">
        <f t="shared" si="13"/>
        <v>1141229.1299999999</v>
      </c>
      <c r="O21" s="8">
        <f t="shared" si="13"/>
        <v>1329699.42</v>
      </c>
      <c r="P21" s="8">
        <f t="shared" si="13"/>
        <v>835313.13</v>
      </c>
      <c r="Q21" s="8">
        <f t="shared" si="13"/>
        <v>1226850.8700000001</v>
      </c>
      <c r="R21" s="8">
        <f t="shared" si="13"/>
        <v>231370.28999999998</v>
      </c>
      <c r="S21" s="8">
        <f t="shared" si="13"/>
        <v>1281161.1299999999</v>
      </c>
      <c r="T21" s="8">
        <f t="shared" si="13"/>
        <v>4178415.42</v>
      </c>
      <c r="U21" s="8">
        <f t="shared" si="13"/>
        <v>621303.42000000004</v>
      </c>
      <c r="V21" s="8">
        <f t="shared" si="13"/>
        <v>4222184.58</v>
      </c>
      <c r="W21" s="8">
        <f t="shared" si="13"/>
        <v>624000</v>
      </c>
      <c r="X21" s="8">
        <f t="shared" si="1"/>
        <v>56812102.260000005</v>
      </c>
      <c r="Y21" s="7"/>
    </row>
    <row r="22" spans="1:25">
      <c r="A22" s="5" t="s">
        <v>55</v>
      </c>
      <c r="B22" s="6" t="s">
        <v>331</v>
      </c>
      <c r="C22" s="6" t="s">
        <v>56</v>
      </c>
      <c r="D22" s="7" t="s">
        <v>20</v>
      </c>
      <c r="E22" s="8">
        <f>ROUND(E30/0.07*0.09,2)</f>
        <v>6224873.1399999997</v>
      </c>
      <c r="F22" s="8">
        <f t="shared" ref="F22:W22" si="14">ROUND(F30/0.07*0.09,2)</f>
        <v>2163070.29</v>
      </c>
      <c r="G22" s="8">
        <f t="shared" si="14"/>
        <v>1833624</v>
      </c>
      <c r="H22" s="8">
        <f t="shared" si="14"/>
        <v>2432669.14</v>
      </c>
      <c r="I22" s="8">
        <f t="shared" si="14"/>
        <v>7638840</v>
      </c>
      <c r="J22" s="8">
        <f t="shared" si="14"/>
        <v>1237479.43</v>
      </c>
      <c r="K22" s="8">
        <f t="shared" si="14"/>
        <v>3025743.43</v>
      </c>
      <c r="L22" s="8">
        <f t="shared" si="14"/>
        <v>1166492.57</v>
      </c>
      <c r="M22" s="8">
        <f t="shared" si="14"/>
        <v>2745298.29</v>
      </c>
      <c r="N22" s="8">
        <f t="shared" si="14"/>
        <v>790081.71</v>
      </c>
      <c r="O22" s="8">
        <f t="shared" si="14"/>
        <v>920561.14</v>
      </c>
      <c r="P22" s="8">
        <f t="shared" si="14"/>
        <v>578293.71</v>
      </c>
      <c r="Q22" s="8">
        <f t="shared" si="14"/>
        <v>849358.29</v>
      </c>
      <c r="R22" s="8">
        <f t="shared" si="14"/>
        <v>160179.43</v>
      </c>
      <c r="S22" s="8">
        <f t="shared" si="14"/>
        <v>886957.71</v>
      </c>
      <c r="T22" s="8">
        <f t="shared" si="14"/>
        <v>2892749.14</v>
      </c>
      <c r="U22" s="8">
        <f t="shared" si="14"/>
        <v>430133.14</v>
      </c>
      <c r="V22" s="8">
        <f t="shared" si="14"/>
        <v>2923050.86</v>
      </c>
      <c r="W22" s="8">
        <f t="shared" si="14"/>
        <v>432000</v>
      </c>
      <c r="X22" s="8">
        <f t="shared" si="1"/>
        <v>39331455.420000002</v>
      </c>
      <c r="Y22" s="7"/>
    </row>
    <row r="23" spans="1:25" ht="22.5">
      <c r="A23" s="5" t="s">
        <v>57</v>
      </c>
      <c r="B23" s="6" t="s">
        <v>332</v>
      </c>
      <c r="C23" s="6" t="s">
        <v>56</v>
      </c>
      <c r="D23" s="7" t="s">
        <v>42</v>
      </c>
      <c r="E23" s="8">
        <f>E24+E25</f>
        <v>2766610.28</v>
      </c>
      <c r="F23" s="8">
        <f t="shared" ref="F23:W23" si="15">F24+F25</f>
        <v>961364.58</v>
      </c>
      <c r="G23" s="8">
        <f t="shared" si="15"/>
        <v>814944</v>
      </c>
      <c r="H23" s="8">
        <f t="shared" si="15"/>
        <v>1081186.28</v>
      </c>
      <c r="I23" s="8">
        <f t="shared" si="15"/>
        <v>3395040</v>
      </c>
      <c r="J23" s="8">
        <f t="shared" si="15"/>
        <v>549990.86</v>
      </c>
      <c r="K23" s="8">
        <f t="shared" si="15"/>
        <v>1344774.86</v>
      </c>
      <c r="L23" s="8">
        <f t="shared" si="15"/>
        <v>518441.14</v>
      </c>
      <c r="M23" s="8">
        <f t="shared" si="15"/>
        <v>1220132.58</v>
      </c>
      <c r="N23" s="8">
        <f t="shared" si="15"/>
        <v>351147.42</v>
      </c>
      <c r="O23" s="8">
        <f t="shared" si="15"/>
        <v>409138.28</v>
      </c>
      <c r="P23" s="8">
        <f t="shared" si="15"/>
        <v>257019.42</v>
      </c>
      <c r="Q23" s="8">
        <f t="shared" si="15"/>
        <v>377492.58</v>
      </c>
      <c r="R23" s="8">
        <f t="shared" si="15"/>
        <v>71190.86</v>
      </c>
      <c r="S23" s="8">
        <f t="shared" si="15"/>
        <v>394203.42</v>
      </c>
      <c r="T23" s="8">
        <f t="shared" si="15"/>
        <v>1285666.28</v>
      </c>
      <c r="U23" s="8">
        <f t="shared" si="15"/>
        <v>191170.28</v>
      </c>
      <c r="V23" s="8">
        <f t="shared" si="15"/>
        <v>1299133.72</v>
      </c>
      <c r="W23" s="8">
        <f t="shared" si="15"/>
        <v>192000</v>
      </c>
      <c r="X23" s="8">
        <f t="shared" si="1"/>
        <v>17480646.839999996</v>
      </c>
      <c r="Y23" s="7"/>
    </row>
    <row r="24" spans="1:25" ht="22.5">
      <c r="A24" s="5" t="s">
        <v>58</v>
      </c>
      <c r="B24" s="6" t="s">
        <v>333</v>
      </c>
      <c r="C24" s="6" t="s">
        <v>56</v>
      </c>
      <c r="D24" s="7" t="s">
        <v>42</v>
      </c>
      <c r="E24" s="8">
        <f>ROUND(E30/0.07*0.02,2)</f>
        <v>1383305.14</v>
      </c>
      <c r="F24" s="8">
        <f t="shared" ref="F24:W24" si="16">ROUND(F30/0.07*0.02,2)</f>
        <v>480682.29</v>
      </c>
      <c r="G24" s="8">
        <f t="shared" si="16"/>
        <v>407472</v>
      </c>
      <c r="H24" s="8">
        <f t="shared" si="16"/>
        <v>540593.14</v>
      </c>
      <c r="I24" s="8">
        <f t="shared" si="16"/>
        <v>1697520</v>
      </c>
      <c r="J24" s="8">
        <f t="shared" si="16"/>
        <v>274995.43</v>
      </c>
      <c r="K24" s="8">
        <f t="shared" si="16"/>
        <v>672387.43</v>
      </c>
      <c r="L24" s="8">
        <f t="shared" si="16"/>
        <v>259220.57</v>
      </c>
      <c r="M24" s="8">
        <f t="shared" si="16"/>
        <v>610066.29</v>
      </c>
      <c r="N24" s="8">
        <f t="shared" si="16"/>
        <v>175573.71</v>
      </c>
      <c r="O24" s="8">
        <f t="shared" si="16"/>
        <v>204569.14</v>
      </c>
      <c r="P24" s="8">
        <f t="shared" si="16"/>
        <v>128509.71</v>
      </c>
      <c r="Q24" s="8">
        <f t="shared" si="16"/>
        <v>188746.29</v>
      </c>
      <c r="R24" s="8">
        <f t="shared" si="16"/>
        <v>35595.43</v>
      </c>
      <c r="S24" s="8">
        <f t="shared" si="16"/>
        <v>197101.71</v>
      </c>
      <c r="T24" s="8">
        <f t="shared" si="16"/>
        <v>642833.14</v>
      </c>
      <c r="U24" s="8">
        <f t="shared" si="16"/>
        <v>95585.14</v>
      </c>
      <c r="V24" s="8">
        <f t="shared" si="16"/>
        <v>649566.86</v>
      </c>
      <c r="W24" s="8">
        <f t="shared" si="16"/>
        <v>96000</v>
      </c>
      <c r="X24" s="8">
        <f t="shared" si="1"/>
        <v>8740323.4199999981</v>
      </c>
      <c r="Y24" s="7"/>
    </row>
    <row r="25" spans="1:25" ht="22.5">
      <c r="A25" s="5" t="s">
        <v>59</v>
      </c>
      <c r="B25" s="6" t="s">
        <v>334</v>
      </c>
      <c r="C25" s="6" t="s">
        <v>56</v>
      </c>
      <c r="D25" s="7" t="s">
        <v>42</v>
      </c>
      <c r="E25" s="8">
        <f>ROUND(E30/0.07*0.02,2)</f>
        <v>1383305.14</v>
      </c>
      <c r="F25" s="8">
        <f t="shared" ref="F25:W25" si="17">ROUND(F30/0.07*0.02,2)</f>
        <v>480682.29</v>
      </c>
      <c r="G25" s="8">
        <f t="shared" si="17"/>
        <v>407472</v>
      </c>
      <c r="H25" s="8">
        <f t="shared" si="17"/>
        <v>540593.14</v>
      </c>
      <c r="I25" s="8">
        <f t="shared" si="17"/>
        <v>1697520</v>
      </c>
      <c r="J25" s="8">
        <f t="shared" si="17"/>
        <v>274995.43</v>
      </c>
      <c r="K25" s="8">
        <f t="shared" si="17"/>
        <v>672387.43</v>
      </c>
      <c r="L25" s="8">
        <f t="shared" si="17"/>
        <v>259220.57</v>
      </c>
      <c r="M25" s="8">
        <f t="shared" si="17"/>
        <v>610066.29</v>
      </c>
      <c r="N25" s="8">
        <f t="shared" si="17"/>
        <v>175573.71</v>
      </c>
      <c r="O25" s="8">
        <f t="shared" si="17"/>
        <v>204569.14</v>
      </c>
      <c r="P25" s="8">
        <f t="shared" si="17"/>
        <v>128509.71</v>
      </c>
      <c r="Q25" s="8">
        <f t="shared" si="17"/>
        <v>188746.29</v>
      </c>
      <c r="R25" s="8">
        <f t="shared" si="17"/>
        <v>35595.43</v>
      </c>
      <c r="S25" s="8">
        <f t="shared" si="17"/>
        <v>197101.71</v>
      </c>
      <c r="T25" s="8">
        <f t="shared" si="17"/>
        <v>642833.14</v>
      </c>
      <c r="U25" s="8">
        <f t="shared" si="17"/>
        <v>95585.14</v>
      </c>
      <c r="V25" s="8">
        <f t="shared" si="17"/>
        <v>649566.86</v>
      </c>
      <c r="W25" s="8">
        <f t="shared" si="17"/>
        <v>96000</v>
      </c>
      <c r="X25" s="8">
        <f t="shared" si="1"/>
        <v>8740323.4199999981</v>
      </c>
      <c r="Y25" s="7"/>
    </row>
    <row r="26" spans="1:25">
      <c r="A26" s="5" t="s">
        <v>60</v>
      </c>
      <c r="B26" s="6" t="s">
        <v>61</v>
      </c>
      <c r="C26" s="6"/>
      <c r="D26" s="7" t="s">
        <v>20</v>
      </c>
      <c r="E26" s="8">
        <f t="shared" ref="E26:W26" si="18">E27</f>
        <v>11066441.140000001</v>
      </c>
      <c r="F26" s="8">
        <f t="shared" si="18"/>
        <v>3845458.29</v>
      </c>
      <c r="G26" s="8">
        <f t="shared" si="18"/>
        <v>3259776</v>
      </c>
      <c r="H26" s="8">
        <f t="shared" si="18"/>
        <v>4324745.1399999997</v>
      </c>
      <c r="I26" s="8">
        <f t="shared" si="18"/>
        <v>13580160</v>
      </c>
      <c r="J26" s="8">
        <f t="shared" si="18"/>
        <v>2199963.4300000002</v>
      </c>
      <c r="K26" s="8">
        <f t="shared" si="18"/>
        <v>5379099.4299999997</v>
      </c>
      <c r="L26" s="8">
        <f t="shared" si="18"/>
        <v>2073764.57</v>
      </c>
      <c r="M26" s="8">
        <f t="shared" si="18"/>
        <v>4880530.29</v>
      </c>
      <c r="N26" s="8">
        <f t="shared" si="18"/>
        <v>1404589.71</v>
      </c>
      <c r="O26" s="8">
        <f t="shared" si="18"/>
        <v>1636553.14</v>
      </c>
      <c r="P26" s="8">
        <f t="shared" si="18"/>
        <v>1028077.71</v>
      </c>
      <c r="Q26" s="8">
        <f t="shared" si="18"/>
        <v>1509970.29</v>
      </c>
      <c r="R26" s="8">
        <f t="shared" si="18"/>
        <v>284763.43</v>
      </c>
      <c r="S26" s="8">
        <f t="shared" si="18"/>
        <v>1576813.71</v>
      </c>
      <c r="T26" s="8">
        <f t="shared" si="18"/>
        <v>5142665.1399999997</v>
      </c>
      <c r="U26" s="8">
        <f t="shared" si="18"/>
        <v>764681.14</v>
      </c>
      <c r="V26" s="8">
        <f t="shared" si="18"/>
        <v>5196534.8600000003</v>
      </c>
      <c r="W26" s="8">
        <f t="shared" si="18"/>
        <v>768000</v>
      </c>
      <c r="X26" s="8">
        <f t="shared" si="1"/>
        <v>69922587.420000002</v>
      </c>
      <c r="Y26" s="7"/>
    </row>
    <row r="27" spans="1:25" ht="22.5">
      <c r="A27" s="5" t="s">
        <v>62</v>
      </c>
      <c r="B27" s="6" t="s">
        <v>194</v>
      </c>
      <c r="C27" s="6" t="s">
        <v>63</v>
      </c>
      <c r="D27" s="7" t="s">
        <v>42</v>
      </c>
      <c r="E27" s="8">
        <f>ROUND(E30/0.07*0.16,2)</f>
        <v>11066441.140000001</v>
      </c>
      <c r="F27" s="8">
        <f t="shared" ref="F27:W27" si="19">ROUND(F30/0.07*0.16,2)</f>
        <v>3845458.29</v>
      </c>
      <c r="G27" s="8">
        <f t="shared" si="19"/>
        <v>3259776</v>
      </c>
      <c r="H27" s="8">
        <f t="shared" si="19"/>
        <v>4324745.1399999997</v>
      </c>
      <c r="I27" s="8">
        <f t="shared" si="19"/>
        <v>13580160</v>
      </c>
      <c r="J27" s="8">
        <f t="shared" si="19"/>
        <v>2199963.4300000002</v>
      </c>
      <c r="K27" s="8">
        <f t="shared" si="19"/>
        <v>5379099.4299999997</v>
      </c>
      <c r="L27" s="8">
        <f t="shared" si="19"/>
        <v>2073764.57</v>
      </c>
      <c r="M27" s="8">
        <f t="shared" si="19"/>
        <v>4880530.29</v>
      </c>
      <c r="N27" s="8">
        <f t="shared" si="19"/>
        <v>1404589.71</v>
      </c>
      <c r="O27" s="8">
        <f t="shared" si="19"/>
        <v>1636553.14</v>
      </c>
      <c r="P27" s="8">
        <f t="shared" si="19"/>
        <v>1028077.71</v>
      </c>
      <c r="Q27" s="8">
        <f t="shared" si="19"/>
        <v>1509970.29</v>
      </c>
      <c r="R27" s="8">
        <f t="shared" si="19"/>
        <v>284763.43</v>
      </c>
      <c r="S27" s="8">
        <f t="shared" si="19"/>
        <v>1576813.71</v>
      </c>
      <c r="T27" s="8">
        <f t="shared" si="19"/>
        <v>5142665.1399999997</v>
      </c>
      <c r="U27" s="8">
        <f t="shared" si="19"/>
        <v>764681.14</v>
      </c>
      <c r="V27" s="8">
        <f t="shared" si="19"/>
        <v>5196534.8600000003</v>
      </c>
      <c r="W27" s="8">
        <f t="shared" si="19"/>
        <v>768000</v>
      </c>
      <c r="X27" s="8">
        <f t="shared" si="1"/>
        <v>69922587.420000002</v>
      </c>
      <c r="Y27" s="7"/>
    </row>
    <row r="28" spans="1:25">
      <c r="A28" s="5" t="s">
        <v>64</v>
      </c>
      <c r="B28" s="6" t="s">
        <v>65</v>
      </c>
      <c r="C28" s="6"/>
      <c r="D28" s="7" t="s">
        <v>20</v>
      </c>
      <c r="E28" s="8">
        <f t="shared" ref="E28:W28" si="20">E29</f>
        <v>5533220.5700000003</v>
      </c>
      <c r="F28" s="8">
        <f t="shared" si="20"/>
        <v>1922729.14</v>
      </c>
      <c r="G28" s="8">
        <f t="shared" si="20"/>
        <v>1629888</v>
      </c>
      <c r="H28" s="8">
        <f t="shared" si="20"/>
        <v>2162372.5699999998</v>
      </c>
      <c r="I28" s="8">
        <f t="shared" si="20"/>
        <v>6790080</v>
      </c>
      <c r="J28" s="8">
        <f t="shared" si="20"/>
        <v>1099981.71</v>
      </c>
      <c r="K28" s="8">
        <f t="shared" si="20"/>
        <v>2689549.71</v>
      </c>
      <c r="L28" s="8">
        <f t="shared" si="20"/>
        <v>1036882.29</v>
      </c>
      <c r="M28" s="8">
        <f t="shared" si="20"/>
        <v>2440265.14</v>
      </c>
      <c r="N28" s="8">
        <f t="shared" si="20"/>
        <v>702294.86</v>
      </c>
      <c r="O28" s="8">
        <f t="shared" si="20"/>
        <v>818276.57</v>
      </c>
      <c r="P28" s="8">
        <f t="shared" si="20"/>
        <v>514038.86</v>
      </c>
      <c r="Q28" s="8">
        <f t="shared" si="20"/>
        <v>754985.14</v>
      </c>
      <c r="R28" s="8">
        <f t="shared" si="20"/>
        <v>142381.71</v>
      </c>
      <c r="S28" s="8">
        <f t="shared" si="20"/>
        <v>788406.86</v>
      </c>
      <c r="T28" s="8">
        <f t="shared" si="20"/>
        <v>2571332.5699999998</v>
      </c>
      <c r="U28" s="8">
        <f t="shared" si="20"/>
        <v>382340.57</v>
      </c>
      <c r="V28" s="8">
        <f t="shared" si="20"/>
        <v>2598267.4300000002</v>
      </c>
      <c r="W28" s="8">
        <f t="shared" si="20"/>
        <v>384000</v>
      </c>
      <c r="X28" s="8">
        <f t="shared" si="1"/>
        <v>34961293.700000003</v>
      </c>
      <c r="Y28" s="7"/>
    </row>
    <row r="29" spans="1:25" ht="22.5">
      <c r="A29" s="5" t="s">
        <v>66</v>
      </c>
      <c r="B29" s="6" t="s">
        <v>67</v>
      </c>
      <c r="C29" s="6" t="s">
        <v>68</v>
      </c>
      <c r="D29" s="7" t="s">
        <v>42</v>
      </c>
      <c r="E29" s="8">
        <f>ROUND(E30/0.07*0.08,2)</f>
        <v>5533220.5700000003</v>
      </c>
      <c r="F29" s="8">
        <f t="shared" ref="F29:W29" si="21">ROUND(F30/0.07*0.08,2)</f>
        <v>1922729.14</v>
      </c>
      <c r="G29" s="8">
        <f t="shared" si="21"/>
        <v>1629888</v>
      </c>
      <c r="H29" s="8">
        <f t="shared" si="21"/>
        <v>2162372.5699999998</v>
      </c>
      <c r="I29" s="8">
        <f t="shared" si="21"/>
        <v>6790080</v>
      </c>
      <c r="J29" s="8">
        <f t="shared" si="21"/>
        <v>1099981.71</v>
      </c>
      <c r="K29" s="8">
        <f t="shared" si="21"/>
        <v>2689549.71</v>
      </c>
      <c r="L29" s="8">
        <f t="shared" si="21"/>
        <v>1036882.29</v>
      </c>
      <c r="M29" s="8">
        <f t="shared" si="21"/>
        <v>2440265.14</v>
      </c>
      <c r="N29" s="8">
        <f t="shared" si="21"/>
        <v>702294.86</v>
      </c>
      <c r="O29" s="8">
        <f t="shared" si="21"/>
        <v>818276.57</v>
      </c>
      <c r="P29" s="8">
        <f t="shared" si="21"/>
        <v>514038.86</v>
      </c>
      <c r="Q29" s="8">
        <f t="shared" si="21"/>
        <v>754985.14</v>
      </c>
      <c r="R29" s="8">
        <f t="shared" si="21"/>
        <v>142381.71</v>
      </c>
      <c r="S29" s="8">
        <f t="shared" si="21"/>
        <v>788406.86</v>
      </c>
      <c r="T29" s="8">
        <f t="shared" si="21"/>
        <v>2571332.5699999998</v>
      </c>
      <c r="U29" s="8">
        <f t="shared" si="21"/>
        <v>382340.57</v>
      </c>
      <c r="V29" s="8">
        <f t="shared" si="21"/>
        <v>2598267.4300000002</v>
      </c>
      <c r="W29" s="8">
        <f t="shared" si="21"/>
        <v>384000</v>
      </c>
      <c r="X29" s="8">
        <f t="shared" si="1"/>
        <v>34961293.700000003</v>
      </c>
      <c r="Y29" s="7"/>
    </row>
    <row r="30" spans="1:25" ht="22.5">
      <c r="A30" s="5" t="s">
        <v>69</v>
      </c>
      <c r="B30" s="6" t="s">
        <v>335</v>
      </c>
      <c r="C30" s="6" t="s">
        <v>70</v>
      </c>
      <c r="D30" s="7" t="s">
        <v>28</v>
      </c>
      <c r="E30" s="9">
        <v>4841568</v>
      </c>
      <c r="F30" s="9">
        <f>140199*12</f>
        <v>1682388</v>
      </c>
      <c r="G30" s="9">
        <v>1426152</v>
      </c>
      <c r="H30" s="9">
        <f>157673*12</f>
        <v>1892076</v>
      </c>
      <c r="I30" s="9">
        <f>495110*12</f>
        <v>5941320</v>
      </c>
      <c r="J30" s="9">
        <v>962484</v>
      </c>
      <c r="K30" s="9">
        <f>196113*12</f>
        <v>2353356</v>
      </c>
      <c r="L30" s="9">
        <f>75606*12</f>
        <v>907272</v>
      </c>
      <c r="M30" s="9">
        <f>177936*12</f>
        <v>2135232</v>
      </c>
      <c r="N30" s="9">
        <f>51209*12</f>
        <v>614508</v>
      </c>
      <c r="O30" s="9">
        <f>59666*12</f>
        <v>715992</v>
      </c>
      <c r="P30" s="9">
        <f>37482*12</f>
        <v>449784</v>
      </c>
      <c r="Q30" s="9">
        <v>660612</v>
      </c>
      <c r="R30" s="9">
        <v>124584</v>
      </c>
      <c r="S30" s="9">
        <f>57488*12</f>
        <v>689856</v>
      </c>
      <c r="T30" s="9">
        <f>187493*12</f>
        <v>2249916</v>
      </c>
      <c r="U30" s="9">
        <f>27879*12</f>
        <v>334548</v>
      </c>
      <c r="V30" s="9">
        <f>189457*12</f>
        <v>2273484</v>
      </c>
      <c r="W30" s="9">
        <v>336000</v>
      </c>
      <c r="X30" s="8">
        <f t="shared" si="1"/>
        <v>30591132</v>
      </c>
      <c r="Y30" s="7"/>
    </row>
    <row r="31" spans="1:25">
      <c r="A31" s="5" t="s">
        <v>71</v>
      </c>
      <c r="B31" s="6" t="s">
        <v>195</v>
      </c>
      <c r="C31" s="6" t="s">
        <v>27</v>
      </c>
      <c r="D31" s="7" t="s">
        <v>196</v>
      </c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8">
        <f t="shared" si="1"/>
        <v>0</v>
      </c>
      <c r="Y31" s="7"/>
    </row>
    <row r="32" spans="1:25">
      <c r="A32" s="5" t="s">
        <v>72</v>
      </c>
      <c r="B32" s="6" t="s">
        <v>73</v>
      </c>
      <c r="C32" s="6"/>
      <c r="D32" s="7" t="s">
        <v>20</v>
      </c>
      <c r="E32" s="8">
        <f>E33+E35+E37</f>
        <v>2570591.04</v>
      </c>
      <c r="F32" s="8">
        <f t="shared" ref="F32:W32" si="22">F33+F35+F37</f>
        <v>1027200</v>
      </c>
      <c r="G32" s="8">
        <f t="shared" si="22"/>
        <v>1158060</v>
      </c>
      <c r="H32" s="8">
        <f t="shared" si="22"/>
        <v>60420</v>
      </c>
      <c r="I32" s="8">
        <f t="shared" si="22"/>
        <v>2030772</v>
      </c>
      <c r="J32" s="8">
        <f t="shared" si="22"/>
        <v>669440</v>
      </c>
      <c r="K32" s="8">
        <f t="shared" si="22"/>
        <v>658500</v>
      </c>
      <c r="L32" s="8">
        <f t="shared" si="22"/>
        <v>447540</v>
      </c>
      <c r="M32" s="8">
        <f t="shared" si="22"/>
        <v>72720</v>
      </c>
      <c r="N32" s="8">
        <f t="shared" si="22"/>
        <v>694080</v>
      </c>
      <c r="O32" s="8">
        <f t="shared" si="22"/>
        <v>29100</v>
      </c>
      <c r="P32" s="8">
        <f t="shared" si="22"/>
        <v>1800</v>
      </c>
      <c r="Q32" s="8">
        <f t="shared" si="22"/>
        <v>491670</v>
      </c>
      <c r="R32" s="8">
        <f t="shared" si="22"/>
        <v>156720</v>
      </c>
      <c r="S32" s="8">
        <f t="shared" si="22"/>
        <v>3240</v>
      </c>
      <c r="T32" s="8">
        <f t="shared" si="22"/>
        <v>337800</v>
      </c>
      <c r="U32" s="8">
        <f t="shared" si="22"/>
        <v>360</v>
      </c>
      <c r="V32" s="8">
        <f t="shared" si="22"/>
        <v>936780</v>
      </c>
      <c r="W32" s="8">
        <f t="shared" si="22"/>
        <v>1080</v>
      </c>
      <c r="X32" s="8">
        <f t="shared" si="1"/>
        <v>11347873.039999999</v>
      </c>
      <c r="Y32" s="7"/>
    </row>
    <row r="33" spans="1:25" ht="33.75">
      <c r="A33" s="5" t="s">
        <v>74</v>
      </c>
      <c r="B33" s="6" t="s">
        <v>197</v>
      </c>
      <c r="C33" s="6" t="s">
        <v>75</v>
      </c>
      <c r="D33" s="7" t="s">
        <v>198</v>
      </c>
      <c r="E33" s="8">
        <f>E34</f>
        <v>2557631.04</v>
      </c>
      <c r="F33" s="8">
        <f t="shared" ref="F33:W33" si="23">F34</f>
        <v>1020720</v>
      </c>
      <c r="G33" s="8">
        <f t="shared" si="23"/>
        <v>1149420</v>
      </c>
      <c r="H33" s="8">
        <f t="shared" si="23"/>
        <v>56460</v>
      </c>
      <c r="I33" s="8">
        <f t="shared" si="23"/>
        <v>2018532</v>
      </c>
      <c r="J33" s="8">
        <f t="shared" si="23"/>
        <v>666840</v>
      </c>
      <c r="K33" s="8">
        <f t="shared" si="23"/>
        <v>656340</v>
      </c>
      <c r="L33" s="8">
        <f t="shared" si="23"/>
        <v>446100</v>
      </c>
      <c r="M33" s="8">
        <f t="shared" si="23"/>
        <v>70920</v>
      </c>
      <c r="N33" s="8">
        <f t="shared" si="23"/>
        <v>692640</v>
      </c>
      <c r="O33" s="8">
        <f t="shared" si="23"/>
        <v>25860</v>
      </c>
      <c r="P33" s="8">
        <f t="shared" si="23"/>
        <v>0</v>
      </c>
      <c r="Q33" s="8">
        <f t="shared" si="23"/>
        <v>491040</v>
      </c>
      <c r="R33" s="8">
        <f t="shared" si="23"/>
        <v>156360</v>
      </c>
      <c r="S33" s="8">
        <f t="shared" si="23"/>
        <v>0</v>
      </c>
      <c r="T33" s="8">
        <f t="shared" si="23"/>
        <v>337560</v>
      </c>
      <c r="U33" s="8">
        <f t="shared" si="23"/>
        <v>0</v>
      </c>
      <c r="V33" s="8">
        <f t="shared" si="23"/>
        <v>926700</v>
      </c>
      <c r="W33" s="8">
        <f t="shared" si="23"/>
        <v>0</v>
      </c>
      <c r="X33" s="8">
        <f t="shared" si="1"/>
        <v>11273123.039999999</v>
      </c>
      <c r="Y33" s="7"/>
    </row>
    <row r="34" spans="1:25" ht="33.75">
      <c r="A34" s="5" t="s">
        <v>76</v>
      </c>
      <c r="B34" s="6" t="s">
        <v>199</v>
      </c>
      <c r="C34" s="6" t="s">
        <v>75</v>
      </c>
      <c r="D34" s="7" t="s">
        <v>198</v>
      </c>
      <c r="E34" s="9">
        <v>2557631.04</v>
      </c>
      <c r="F34" s="9">
        <f>85060*12</f>
        <v>1020720</v>
      </c>
      <c r="G34" s="9">
        <v>1149420</v>
      </c>
      <c r="H34" s="9">
        <f>4705*12</f>
        <v>56460</v>
      </c>
      <c r="I34" s="9">
        <f>168211*12</f>
        <v>2018532</v>
      </c>
      <c r="J34" s="9">
        <v>666840</v>
      </c>
      <c r="K34" s="9">
        <f>54695*12</f>
        <v>656340</v>
      </c>
      <c r="L34" s="9">
        <f>37175*12</f>
        <v>446100</v>
      </c>
      <c r="M34" s="9">
        <f>5910*12</f>
        <v>70920</v>
      </c>
      <c r="N34" s="9">
        <f>57720*12</f>
        <v>692640</v>
      </c>
      <c r="O34" s="9">
        <v>25860</v>
      </c>
      <c r="P34" s="9"/>
      <c r="Q34" s="9">
        <v>491040</v>
      </c>
      <c r="R34" s="9">
        <v>156360</v>
      </c>
      <c r="S34" s="9"/>
      <c r="T34" s="9">
        <f>28130*12</f>
        <v>337560</v>
      </c>
      <c r="U34" s="9"/>
      <c r="V34" s="9">
        <f>77225*12</f>
        <v>926700</v>
      </c>
      <c r="W34" s="9"/>
      <c r="X34" s="8">
        <f t="shared" si="1"/>
        <v>11273123.039999999</v>
      </c>
      <c r="Y34" s="7"/>
    </row>
    <row r="35" spans="1:25">
      <c r="A35" s="5" t="s">
        <v>77</v>
      </c>
      <c r="B35" s="6" t="s">
        <v>78</v>
      </c>
      <c r="C35" s="6"/>
      <c r="D35" s="7" t="s">
        <v>20</v>
      </c>
      <c r="E35" s="8">
        <f>E36</f>
        <v>12960</v>
      </c>
      <c r="F35" s="8">
        <f t="shared" ref="F35:W35" si="24">F36</f>
        <v>6480</v>
      </c>
      <c r="G35" s="8">
        <f t="shared" si="24"/>
        <v>8640</v>
      </c>
      <c r="H35" s="8">
        <f t="shared" si="24"/>
        <v>3960</v>
      </c>
      <c r="I35" s="8">
        <f t="shared" si="24"/>
        <v>12240</v>
      </c>
      <c r="J35" s="8">
        <f t="shared" si="24"/>
        <v>2600</v>
      </c>
      <c r="K35" s="8">
        <f t="shared" si="24"/>
        <v>2160</v>
      </c>
      <c r="L35" s="8">
        <f t="shared" si="24"/>
        <v>1440</v>
      </c>
      <c r="M35" s="8">
        <f t="shared" si="24"/>
        <v>1800</v>
      </c>
      <c r="N35" s="8">
        <f t="shared" si="24"/>
        <v>1440</v>
      </c>
      <c r="O35" s="8">
        <f t="shared" si="24"/>
        <v>3240</v>
      </c>
      <c r="P35" s="8">
        <f t="shared" si="24"/>
        <v>1800</v>
      </c>
      <c r="Q35" s="8">
        <f t="shared" si="24"/>
        <v>630</v>
      </c>
      <c r="R35" s="8">
        <f t="shared" si="24"/>
        <v>360</v>
      </c>
      <c r="S35" s="8">
        <f t="shared" si="24"/>
        <v>3240</v>
      </c>
      <c r="T35" s="8">
        <f t="shared" si="24"/>
        <v>240</v>
      </c>
      <c r="U35" s="8">
        <f t="shared" si="24"/>
        <v>360</v>
      </c>
      <c r="V35" s="8">
        <f t="shared" si="24"/>
        <v>10080</v>
      </c>
      <c r="W35" s="8">
        <f t="shared" si="24"/>
        <v>1080</v>
      </c>
      <c r="X35" s="8">
        <f t="shared" si="1"/>
        <v>74750</v>
      </c>
      <c r="Y35" s="7"/>
    </row>
    <row r="36" spans="1:25" ht="22.5">
      <c r="A36" s="5" t="s">
        <v>79</v>
      </c>
      <c r="B36" s="6" t="s">
        <v>80</v>
      </c>
      <c r="C36" s="6" t="s">
        <v>27</v>
      </c>
      <c r="D36" s="7" t="s">
        <v>28</v>
      </c>
      <c r="E36" s="9">
        <v>12960</v>
      </c>
      <c r="F36" s="9">
        <f>540*12</f>
        <v>6480</v>
      </c>
      <c r="G36" s="9">
        <v>8640</v>
      </c>
      <c r="H36" s="9">
        <f>330*12</f>
        <v>3960</v>
      </c>
      <c r="I36" s="9">
        <v>12240</v>
      </c>
      <c r="J36" s="9">
        <v>2600</v>
      </c>
      <c r="K36" s="9">
        <f>180*12</f>
        <v>2160</v>
      </c>
      <c r="L36" s="9">
        <f>120*12</f>
        <v>1440</v>
      </c>
      <c r="M36" s="9">
        <f>150*12</f>
        <v>1800</v>
      </c>
      <c r="N36" s="9">
        <f>120*12</f>
        <v>1440</v>
      </c>
      <c r="O36" s="9">
        <f>270*12</f>
        <v>3240</v>
      </c>
      <c r="P36" s="9">
        <v>1800</v>
      </c>
      <c r="Q36" s="9">
        <v>630</v>
      </c>
      <c r="R36" s="9">
        <v>360</v>
      </c>
      <c r="S36" s="9">
        <f>270*12</f>
        <v>3240</v>
      </c>
      <c r="T36" s="9">
        <v>240</v>
      </c>
      <c r="U36" s="9">
        <f>30*12</f>
        <v>360</v>
      </c>
      <c r="V36" s="9">
        <f>840*12</f>
        <v>10080</v>
      </c>
      <c r="W36" s="9">
        <v>1080</v>
      </c>
      <c r="X36" s="8">
        <f t="shared" si="1"/>
        <v>74750</v>
      </c>
      <c r="Y36" s="7"/>
    </row>
    <row r="37" spans="1:25">
      <c r="A37" s="5" t="s">
        <v>81</v>
      </c>
      <c r="B37" s="6" t="s">
        <v>82</v>
      </c>
      <c r="C37" s="6"/>
      <c r="D37" s="7" t="s">
        <v>20</v>
      </c>
      <c r="E37" s="8">
        <f>E38</f>
        <v>0</v>
      </c>
      <c r="F37" s="8">
        <f t="shared" ref="F37:W37" si="25">F38</f>
        <v>0</v>
      </c>
      <c r="G37" s="8">
        <f t="shared" si="25"/>
        <v>0</v>
      </c>
      <c r="H37" s="8">
        <f t="shared" si="25"/>
        <v>0</v>
      </c>
      <c r="I37" s="8">
        <f t="shared" si="25"/>
        <v>0</v>
      </c>
      <c r="J37" s="8">
        <f t="shared" si="25"/>
        <v>0</v>
      </c>
      <c r="K37" s="8">
        <f t="shared" si="25"/>
        <v>0</v>
      </c>
      <c r="L37" s="8">
        <f t="shared" si="25"/>
        <v>0</v>
      </c>
      <c r="M37" s="8">
        <f t="shared" si="25"/>
        <v>0</v>
      </c>
      <c r="N37" s="8">
        <f t="shared" si="25"/>
        <v>0</v>
      </c>
      <c r="O37" s="8">
        <f t="shared" si="25"/>
        <v>0</v>
      </c>
      <c r="P37" s="8">
        <f t="shared" si="25"/>
        <v>0</v>
      </c>
      <c r="Q37" s="8">
        <f t="shared" si="25"/>
        <v>0</v>
      </c>
      <c r="R37" s="8">
        <f t="shared" si="25"/>
        <v>0</v>
      </c>
      <c r="S37" s="8">
        <f t="shared" si="25"/>
        <v>0</v>
      </c>
      <c r="T37" s="8">
        <f t="shared" si="25"/>
        <v>0</v>
      </c>
      <c r="U37" s="8">
        <f t="shared" si="25"/>
        <v>0</v>
      </c>
      <c r="V37" s="8">
        <f t="shared" si="25"/>
        <v>0</v>
      </c>
      <c r="W37" s="8">
        <f t="shared" si="25"/>
        <v>0</v>
      </c>
      <c r="X37" s="8">
        <f t="shared" si="1"/>
        <v>0</v>
      </c>
      <c r="Y37" s="7"/>
    </row>
    <row r="38" spans="1:25" ht="56.25">
      <c r="A38" s="5" t="s">
        <v>83</v>
      </c>
      <c r="B38" s="6" t="s">
        <v>200</v>
      </c>
      <c r="C38" s="6" t="s">
        <v>27</v>
      </c>
      <c r="D38" s="7" t="s">
        <v>84</v>
      </c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8">
        <f t="shared" si="1"/>
        <v>0</v>
      </c>
      <c r="Y38" s="7"/>
    </row>
    <row r="39" spans="1:25">
      <c r="A39" s="5" t="s">
        <v>85</v>
      </c>
      <c r="B39" s="6" t="s">
        <v>86</v>
      </c>
      <c r="C39" s="6"/>
      <c r="D39" s="7" t="s">
        <v>20</v>
      </c>
      <c r="E39" s="8">
        <f>E40+E42+E44+E46+E48+E51+E53+E55+E59</f>
        <v>18748815.789999999</v>
      </c>
      <c r="F39" s="8">
        <f t="shared" ref="F39:W39" si="26">F40+F42+F44+F46+F48+F51+F53+F55+F59</f>
        <v>7172930.29</v>
      </c>
      <c r="G39" s="8">
        <f t="shared" si="26"/>
        <v>5965098.2000000002</v>
      </c>
      <c r="H39" s="8">
        <f t="shared" si="26"/>
        <v>8345373.0899999999</v>
      </c>
      <c r="I39" s="8">
        <f t="shared" si="26"/>
        <v>22491404.600000001</v>
      </c>
      <c r="J39" s="8">
        <f t="shared" si="26"/>
        <v>3411870.8800000004</v>
      </c>
      <c r="K39" s="8">
        <f t="shared" si="26"/>
        <v>8934663.7300000004</v>
      </c>
      <c r="L39" s="8">
        <f t="shared" si="26"/>
        <v>3313454.1199999996</v>
      </c>
      <c r="M39" s="8">
        <f t="shared" si="26"/>
        <v>7899879.4400000004</v>
      </c>
      <c r="N39" s="8">
        <f t="shared" si="26"/>
        <v>2104983.71</v>
      </c>
      <c r="O39" s="8">
        <f t="shared" si="26"/>
        <v>2519586.8400000003</v>
      </c>
      <c r="P39" s="8">
        <f t="shared" si="26"/>
        <v>1254546.51</v>
      </c>
      <c r="Q39" s="8">
        <f t="shared" si="26"/>
        <v>1977162.29</v>
      </c>
      <c r="R39" s="8">
        <f t="shared" si="26"/>
        <v>337195.43</v>
      </c>
      <c r="S39" s="8">
        <f t="shared" si="26"/>
        <v>1758498.51</v>
      </c>
      <c r="T39" s="8">
        <f t="shared" si="26"/>
        <v>10279081.090000002</v>
      </c>
      <c r="U39" s="8">
        <f t="shared" si="26"/>
        <v>1220714.94</v>
      </c>
      <c r="V39" s="8">
        <f t="shared" si="26"/>
        <v>6750922.9100000001</v>
      </c>
      <c r="W39" s="8">
        <f t="shared" si="26"/>
        <v>1810134.9500000002</v>
      </c>
      <c r="X39" s="8">
        <f t="shared" si="1"/>
        <v>116296317.32000002</v>
      </c>
      <c r="Y39" s="7"/>
    </row>
    <row r="40" spans="1:25" ht="22.5">
      <c r="A40" s="5" t="s">
        <v>87</v>
      </c>
      <c r="B40" s="6" t="s">
        <v>88</v>
      </c>
      <c r="C40" s="6"/>
      <c r="D40" s="7" t="s">
        <v>89</v>
      </c>
      <c r="E40" s="9">
        <v>14784000</v>
      </c>
      <c r="F40" s="9">
        <v>5682600</v>
      </c>
      <c r="G40" s="9">
        <v>4658500</v>
      </c>
      <c r="H40" s="9">
        <v>6999300</v>
      </c>
      <c r="I40" s="9">
        <v>17892540</v>
      </c>
      <c r="J40" s="9">
        <v>2545530</v>
      </c>
      <c r="K40" s="9">
        <v>7174350</v>
      </c>
      <c r="L40" s="9">
        <v>2465280</v>
      </c>
      <c r="M40" s="9">
        <v>6355800</v>
      </c>
      <c r="N40" s="9">
        <v>1430000</v>
      </c>
      <c r="O40" s="9">
        <v>1798940</v>
      </c>
      <c r="P40" s="9">
        <v>883740</v>
      </c>
      <c r="Q40" s="9">
        <v>1332760</v>
      </c>
      <c r="R40" s="9">
        <v>156800</v>
      </c>
      <c r="S40" s="9">
        <f>1198000</f>
        <v>1198000</v>
      </c>
      <c r="T40" s="9">
        <v>8220230</v>
      </c>
      <c r="U40" s="9">
        <v>858000</v>
      </c>
      <c r="V40" s="9">
        <v>4674580</v>
      </c>
      <c r="W40" s="9">
        <v>1430000</v>
      </c>
      <c r="X40" s="8">
        <f t="shared" si="1"/>
        <v>90540950</v>
      </c>
      <c r="Y40" s="7"/>
    </row>
    <row r="41" spans="1:25">
      <c r="A41" s="5" t="s">
        <v>90</v>
      </c>
      <c r="B41" s="6" t="s">
        <v>201</v>
      </c>
      <c r="C41" s="6" t="s">
        <v>27</v>
      </c>
      <c r="D41" s="11" t="s">
        <v>202</v>
      </c>
      <c r="E41" s="9">
        <v>739200</v>
      </c>
      <c r="F41" s="9">
        <v>284130</v>
      </c>
      <c r="G41" s="9">
        <v>232925</v>
      </c>
      <c r="H41" s="9">
        <v>349965</v>
      </c>
      <c r="I41" s="9">
        <v>894627</v>
      </c>
      <c r="J41" s="9">
        <v>127276.5</v>
      </c>
      <c r="K41" s="9">
        <v>358717.5</v>
      </c>
      <c r="L41" s="9">
        <v>123264</v>
      </c>
      <c r="M41" s="9">
        <v>317790</v>
      </c>
      <c r="N41" s="9">
        <v>46046</v>
      </c>
      <c r="O41" s="9">
        <v>78221</v>
      </c>
      <c r="P41" s="9">
        <v>44187</v>
      </c>
      <c r="Q41" s="9">
        <v>54626</v>
      </c>
      <c r="R41" s="9">
        <v>7840</v>
      </c>
      <c r="S41" s="9">
        <v>56325</v>
      </c>
      <c r="T41" s="9">
        <v>411011.5</v>
      </c>
      <c r="U41" s="9">
        <v>36465</v>
      </c>
      <c r="V41" s="9">
        <v>199695</v>
      </c>
      <c r="W41" s="9">
        <v>41184</v>
      </c>
      <c r="X41" s="8">
        <f t="shared" si="1"/>
        <v>4403495.5</v>
      </c>
      <c r="Y41" s="7"/>
    </row>
    <row r="42" spans="1:25">
      <c r="A42" s="5" t="s">
        <v>91</v>
      </c>
      <c r="B42" s="6" t="s">
        <v>92</v>
      </c>
      <c r="C42" s="6"/>
      <c r="D42" s="7"/>
      <c r="E42" s="8">
        <f>E43</f>
        <v>106000</v>
      </c>
      <c r="F42" s="8">
        <f t="shared" ref="F42:W42" si="27">F43</f>
        <v>38800</v>
      </c>
      <c r="G42" s="8">
        <f t="shared" si="27"/>
        <v>32000</v>
      </c>
      <c r="H42" s="8">
        <f t="shared" si="27"/>
        <v>45600</v>
      </c>
      <c r="I42" s="8">
        <f t="shared" si="27"/>
        <v>138800</v>
      </c>
      <c r="J42" s="8">
        <f t="shared" si="27"/>
        <v>22400</v>
      </c>
      <c r="K42" s="8">
        <f t="shared" si="27"/>
        <v>52800</v>
      </c>
      <c r="L42" s="8">
        <f t="shared" si="27"/>
        <v>21600</v>
      </c>
      <c r="M42" s="8">
        <f t="shared" si="27"/>
        <v>50000</v>
      </c>
      <c r="N42" s="8">
        <f t="shared" si="27"/>
        <v>16000</v>
      </c>
      <c r="O42" s="8">
        <f t="shared" si="27"/>
        <v>19200</v>
      </c>
      <c r="P42" s="8">
        <f t="shared" si="27"/>
        <v>11600</v>
      </c>
      <c r="Q42" s="8">
        <f t="shared" si="27"/>
        <v>16800</v>
      </c>
      <c r="R42" s="8">
        <f t="shared" si="27"/>
        <v>2800</v>
      </c>
      <c r="S42" s="8">
        <f t="shared" si="27"/>
        <v>18000</v>
      </c>
      <c r="T42" s="8">
        <f t="shared" si="27"/>
        <v>54800</v>
      </c>
      <c r="U42" s="8">
        <f t="shared" si="27"/>
        <v>8400</v>
      </c>
      <c r="V42" s="8">
        <f t="shared" si="27"/>
        <v>57600</v>
      </c>
      <c r="W42" s="8">
        <f t="shared" si="27"/>
        <v>8800</v>
      </c>
      <c r="X42" s="8">
        <f t="shared" si="1"/>
        <v>722000</v>
      </c>
      <c r="Y42" s="7"/>
    </row>
    <row r="43" spans="1:25" ht="33.75">
      <c r="A43" s="5" t="s">
        <v>93</v>
      </c>
      <c r="B43" s="6" t="s">
        <v>94</v>
      </c>
      <c r="C43" s="6" t="s">
        <v>27</v>
      </c>
      <c r="D43" s="11" t="s">
        <v>95</v>
      </c>
      <c r="E43" s="8">
        <f>E62*400</f>
        <v>106000</v>
      </c>
      <c r="F43" s="8">
        <f t="shared" ref="F43:W43" si="28">F62*400</f>
        <v>38800</v>
      </c>
      <c r="G43" s="8">
        <f t="shared" si="28"/>
        <v>32000</v>
      </c>
      <c r="H43" s="8">
        <f t="shared" si="28"/>
        <v>45600</v>
      </c>
      <c r="I43" s="8">
        <f t="shared" si="28"/>
        <v>138800</v>
      </c>
      <c r="J43" s="8">
        <f t="shared" si="28"/>
        <v>22400</v>
      </c>
      <c r="K43" s="8">
        <f t="shared" si="28"/>
        <v>52800</v>
      </c>
      <c r="L43" s="8">
        <f t="shared" si="28"/>
        <v>21600</v>
      </c>
      <c r="M43" s="8">
        <f t="shared" si="28"/>
        <v>50000</v>
      </c>
      <c r="N43" s="8">
        <f t="shared" si="28"/>
        <v>16000</v>
      </c>
      <c r="O43" s="8">
        <f t="shared" si="28"/>
        <v>19200</v>
      </c>
      <c r="P43" s="8">
        <f t="shared" si="28"/>
        <v>11600</v>
      </c>
      <c r="Q43" s="8">
        <f t="shared" si="28"/>
        <v>16800</v>
      </c>
      <c r="R43" s="8">
        <f t="shared" si="28"/>
        <v>2800</v>
      </c>
      <c r="S43" s="8">
        <f t="shared" si="28"/>
        <v>18000</v>
      </c>
      <c r="T43" s="8">
        <f t="shared" si="28"/>
        <v>54800</v>
      </c>
      <c r="U43" s="8">
        <f t="shared" si="28"/>
        <v>8400</v>
      </c>
      <c r="V43" s="8">
        <f t="shared" si="28"/>
        <v>57600</v>
      </c>
      <c r="W43" s="8">
        <f t="shared" si="28"/>
        <v>8800</v>
      </c>
      <c r="X43" s="8">
        <f t="shared" si="1"/>
        <v>722000</v>
      </c>
      <c r="Y43" s="7"/>
    </row>
    <row r="44" spans="1:25">
      <c r="A44" s="5" t="s">
        <v>96</v>
      </c>
      <c r="B44" s="6" t="s">
        <v>97</v>
      </c>
      <c r="C44" s="6"/>
      <c r="D44" s="7" t="s">
        <v>20</v>
      </c>
      <c r="E44" s="8">
        <f>E45</f>
        <v>487354.65</v>
      </c>
      <c r="F44" s="8">
        <f t="shared" ref="F44:W44" si="29">F45</f>
        <v>197400</v>
      </c>
      <c r="G44" s="8">
        <f t="shared" si="29"/>
        <v>134278.19999999998</v>
      </c>
      <c r="H44" s="8">
        <f t="shared" si="29"/>
        <v>170335.94999999998</v>
      </c>
      <c r="I44" s="8">
        <f t="shared" si="29"/>
        <v>570432.6</v>
      </c>
      <c r="J44" s="8">
        <f t="shared" si="29"/>
        <v>69477.45</v>
      </c>
      <c r="K44" s="8">
        <f t="shared" si="29"/>
        <v>191346.3</v>
      </c>
      <c r="L44" s="8">
        <f t="shared" si="29"/>
        <v>139283.54999999999</v>
      </c>
      <c r="M44" s="8">
        <f t="shared" si="29"/>
        <v>215373.15</v>
      </c>
      <c r="N44" s="8">
        <f t="shared" si="29"/>
        <v>64290</v>
      </c>
      <c r="O44" s="8">
        <f t="shared" si="29"/>
        <v>200240.1</v>
      </c>
      <c r="P44" s="8">
        <f t="shared" si="29"/>
        <v>55978.8</v>
      </c>
      <c r="Q44" s="8">
        <f t="shared" si="29"/>
        <v>69180</v>
      </c>
      <c r="R44" s="8">
        <f t="shared" si="29"/>
        <v>42000</v>
      </c>
      <c r="S44" s="8">
        <f t="shared" si="29"/>
        <v>97500</v>
      </c>
      <c r="T44" s="8">
        <f t="shared" si="29"/>
        <v>485033.55</v>
      </c>
      <c r="U44" s="8">
        <f t="shared" si="29"/>
        <v>104925</v>
      </c>
      <c r="V44" s="8">
        <f t="shared" si="29"/>
        <v>345436.05</v>
      </c>
      <c r="W44" s="8">
        <f t="shared" si="29"/>
        <v>124093.34999999999</v>
      </c>
      <c r="X44" s="8">
        <f t="shared" si="1"/>
        <v>3763958.6999999997</v>
      </c>
      <c r="Y44" s="7"/>
    </row>
    <row r="45" spans="1:25" ht="33.75">
      <c r="A45" s="5" t="s">
        <v>98</v>
      </c>
      <c r="B45" s="6" t="s">
        <v>99</v>
      </c>
      <c r="C45" s="6" t="s">
        <v>27</v>
      </c>
      <c r="D45" s="11" t="s">
        <v>100</v>
      </c>
      <c r="E45" s="8">
        <f>E73*15</f>
        <v>487354.65</v>
      </c>
      <c r="F45" s="8">
        <f t="shared" ref="F45:W45" si="30">F73*15</f>
        <v>197400</v>
      </c>
      <c r="G45" s="8">
        <f t="shared" si="30"/>
        <v>134278.19999999998</v>
      </c>
      <c r="H45" s="8">
        <f t="shared" si="30"/>
        <v>170335.94999999998</v>
      </c>
      <c r="I45" s="8">
        <f t="shared" si="30"/>
        <v>570432.6</v>
      </c>
      <c r="J45" s="8">
        <f t="shared" si="30"/>
        <v>69477.45</v>
      </c>
      <c r="K45" s="8">
        <f t="shared" si="30"/>
        <v>191346.3</v>
      </c>
      <c r="L45" s="8">
        <f t="shared" si="30"/>
        <v>139283.54999999999</v>
      </c>
      <c r="M45" s="8">
        <f t="shared" si="30"/>
        <v>215373.15</v>
      </c>
      <c r="N45" s="8">
        <f t="shared" si="30"/>
        <v>64290</v>
      </c>
      <c r="O45" s="8">
        <f t="shared" si="30"/>
        <v>200240.1</v>
      </c>
      <c r="P45" s="8">
        <f t="shared" si="30"/>
        <v>55978.8</v>
      </c>
      <c r="Q45" s="8">
        <f t="shared" si="30"/>
        <v>69180</v>
      </c>
      <c r="R45" s="8">
        <f t="shared" si="30"/>
        <v>42000</v>
      </c>
      <c r="S45" s="8">
        <f t="shared" si="30"/>
        <v>97500</v>
      </c>
      <c r="T45" s="8">
        <f t="shared" si="30"/>
        <v>485033.55</v>
      </c>
      <c r="U45" s="8">
        <f t="shared" si="30"/>
        <v>104925</v>
      </c>
      <c r="V45" s="8">
        <f t="shared" si="30"/>
        <v>345436.05</v>
      </c>
      <c r="W45" s="8">
        <f t="shared" si="30"/>
        <v>124093.34999999999</v>
      </c>
      <c r="X45" s="8">
        <f t="shared" si="1"/>
        <v>3763958.6999999997</v>
      </c>
      <c r="Y45" s="7"/>
    </row>
    <row r="46" spans="1:25">
      <c r="A46" s="5" t="s">
        <v>101</v>
      </c>
      <c r="B46" s="6" t="s">
        <v>102</v>
      </c>
      <c r="C46" s="6"/>
      <c r="D46" s="7" t="s">
        <v>20</v>
      </c>
      <c r="E46" s="8">
        <f>E47</f>
        <v>139576</v>
      </c>
      <c r="F46" s="8">
        <f t="shared" ref="F46:W46" si="31">F47</f>
        <v>69528</v>
      </c>
      <c r="G46" s="8">
        <f t="shared" si="31"/>
        <v>51968</v>
      </c>
      <c r="H46" s="8">
        <f t="shared" si="31"/>
        <v>32584</v>
      </c>
      <c r="I46" s="8">
        <f t="shared" si="31"/>
        <v>98712</v>
      </c>
      <c r="J46" s="8">
        <f t="shared" si="31"/>
        <v>25808</v>
      </c>
      <c r="K46" s="8">
        <f t="shared" si="31"/>
        <v>52960</v>
      </c>
      <c r="L46" s="8">
        <f t="shared" si="31"/>
        <v>28680</v>
      </c>
      <c r="M46" s="8">
        <f t="shared" si="31"/>
        <v>63040</v>
      </c>
      <c r="N46" s="8">
        <f t="shared" si="31"/>
        <v>18800</v>
      </c>
      <c r="O46" s="8">
        <f t="shared" si="31"/>
        <v>48357.599999999999</v>
      </c>
      <c r="P46" s="8">
        <f t="shared" si="31"/>
        <v>14288</v>
      </c>
      <c r="Q46" s="8">
        <f t="shared" si="31"/>
        <v>13736</v>
      </c>
      <c r="R46" s="8">
        <f t="shared" si="31"/>
        <v>0</v>
      </c>
      <c r="S46" s="8">
        <f t="shared" si="31"/>
        <v>18496.8</v>
      </c>
      <c r="T46" s="8">
        <f t="shared" si="31"/>
        <v>137634.4</v>
      </c>
      <c r="U46" s="8">
        <f t="shared" si="31"/>
        <v>29584.799999999999</v>
      </c>
      <c r="V46" s="8">
        <f t="shared" si="31"/>
        <v>75440</v>
      </c>
      <c r="W46" s="8">
        <f t="shared" si="31"/>
        <v>23851.599999999999</v>
      </c>
      <c r="X46" s="8">
        <f t="shared" si="1"/>
        <v>943045.20000000007</v>
      </c>
      <c r="Y46" s="7"/>
    </row>
    <row r="47" spans="1:25" ht="33.75">
      <c r="A47" s="5" t="s">
        <v>103</v>
      </c>
      <c r="B47" s="6" t="s">
        <v>104</v>
      </c>
      <c r="C47" s="6" t="s">
        <v>27</v>
      </c>
      <c r="D47" s="11" t="s">
        <v>105</v>
      </c>
      <c r="E47" s="8">
        <f>E74*8</f>
        <v>139576</v>
      </c>
      <c r="F47" s="8">
        <f t="shared" ref="F47:W47" si="32">F74*8</f>
        <v>69528</v>
      </c>
      <c r="G47" s="8">
        <f t="shared" si="32"/>
        <v>51968</v>
      </c>
      <c r="H47" s="8">
        <f t="shared" si="32"/>
        <v>32584</v>
      </c>
      <c r="I47" s="8">
        <f t="shared" si="32"/>
        <v>98712</v>
      </c>
      <c r="J47" s="8">
        <f t="shared" si="32"/>
        <v>25808</v>
      </c>
      <c r="K47" s="8">
        <f t="shared" si="32"/>
        <v>52960</v>
      </c>
      <c r="L47" s="8">
        <f t="shared" si="32"/>
        <v>28680</v>
      </c>
      <c r="M47" s="8">
        <f t="shared" si="32"/>
        <v>63040</v>
      </c>
      <c r="N47" s="8">
        <f t="shared" si="32"/>
        <v>18800</v>
      </c>
      <c r="O47" s="8">
        <f t="shared" si="32"/>
        <v>48357.599999999999</v>
      </c>
      <c r="P47" s="8">
        <f t="shared" si="32"/>
        <v>14288</v>
      </c>
      <c r="Q47" s="8">
        <f t="shared" si="32"/>
        <v>13736</v>
      </c>
      <c r="R47" s="8">
        <f t="shared" si="32"/>
        <v>0</v>
      </c>
      <c r="S47" s="8">
        <f t="shared" si="32"/>
        <v>18496.8</v>
      </c>
      <c r="T47" s="8">
        <f t="shared" si="32"/>
        <v>137634.4</v>
      </c>
      <c r="U47" s="8">
        <f t="shared" si="32"/>
        <v>29584.799999999999</v>
      </c>
      <c r="V47" s="8">
        <f t="shared" si="32"/>
        <v>75440</v>
      </c>
      <c r="W47" s="8">
        <f t="shared" si="32"/>
        <v>23851.599999999999</v>
      </c>
      <c r="X47" s="8">
        <f t="shared" si="1"/>
        <v>943045.20000000007</v>
      </c>
      <c r="Y47" s="7"/>
    </row>
    <row r="48" spans="1:25">
      <c r="A48" s="5" t="s">
        <v>106</v>
      </c>
      <c r="B48" s="6" t="s">
        <v>203</v>
      </c>
      <c r="C48" s="6"/>
      <c r="D48" s="7" t="s">
        <v>20</v>
      </c>
      <c r="E48" s="8">
        <f>E49+E50</f>
        <v>1745280</v>
      </c>
      <c r="F48" s="8">
        <f t="shared" ref="F48:W48" si="33">F49+F50</f>
        <v>652320</v>
      </c>
      <c r="G48" s="8">
        <f t="shared" si="33"/>
        <v>622080</v>
      </c>
      <c r="H48" s="8">
        <f t="shared" si="33"/>
        <v>509760</v>
      </c>
      <c r="I48" s="8">
        <f t="shared" si="33"/>
        <v>1987200</v>
      </c>
      <c r="J48" s="8">
        <f t="shared" si="33"/>
        <v>423360</v>
      </c>
      <c r="K48" s="8">
        <f t="shared" si="33"/>
        <v>738720</v>
      </c>
      <c r="L48" s="8">
        <f t="shared" si="33"/>
        <v>354240</v>
      </c>
      <c r="M48" s="8">
        <f t="shared" si="33"/>
        <v>561600</v>
      </c>
      <c r="N48" s="8">
        <f t="shared" si="33"/>
        <v>349920</v>
      </c>
      <c r="O48" s="8">
        <f t="shared" si="33"/>
        <v>211680</v>
      </c>
      <c r="P48" s="8">
        <f t="shared" si="33"/>
        <v>125280</v>
      </c>
      <c r="Q48" s="8">
        <f t="shared" si="33"/>
        <v>311040</v>
      </c>
      <c r="R48" s="8">
        <f t="shared" si="33"/>
        <v>64800</v>
      </c>
      <c r="S48" s="8">
        <f t="shared" si="33"/>
        <v>194400</v>
      </c>
      <c r="T48" s="8">
        <f t="shared" si="33"/>
        <v>691200</v>
      </c>
      <c r="U48" s="8">
        <f t="shared" si="33"/>
        <v>90720</v>
      </c>
      <c r="V48" s="8">
        <f t="shared" si="33"/>
        <v>864000</v>
      </c>
      <c r="W48" s="8">
        <f t="shared" si="33"/>
        <v>95040</v>
      </c>
      <c r="X48" s="8">
        <f t="shared" si="1"/>
        <v>10592640</v>
      </c>
      <c r="Y48" s="7"/>
    </row>
    <row r="49" spans="1:25" ht="33.75">
      <c r="A49" s="5" t="s">
        <v>107</v>
      </c>
      <c r="B49" s="6" t="s">
        <v>204</v>
      </c>
      <c r="C49" s="6" t="s">
        <v>27</v>
      </c>
      <c r="D49" s="11" t="s">
        <v>108</v>
      </c>
      <c r="E49" s="8">
        <f>E62*4320</f>
        <v>1144800</v>
      </c>
      <c r="F49" s="8">
        <f t="shared" ref="F49:W49" si="34">F62*4320</f>
        <v>419040</v>
      </c>
      <c r="G49" s="8">
        <f t="shared" si="34"/>
        <v>345600</v>
      </c>
      <c r="H49" s="8">
        <f t="shared" si="34"/>
        <v>492480</v>
      </c>
      <c r="I49" s="8">
        <f t="shared" si="34"/>
        <v>1499040</v>
      </c>
      <c r="J49" s="8">
        <f t="shared" si="34"/>
        <v>241920</v>
      </c>
      <c r="K49" s="8">
        <f t="shared" si="34"/>
        <v>570240</v>
      </c>
      <c r="L49" s="8">
        <f t="shared" si="34"/>
        <v>233280</v>
      </c>
      <c r="M49" s="8">
        <f t="shared" si="34"/>
        <v>540000</v>
      </c>
      <c r="N49" s="8">
        <f t="shared" si="34"/>
        <v>172800</v>
      </c>
      <c r="O49" s="8">
        <f t="shared" si="34"/>
        <v>207360</v>
      </c>
      <c r="P49" s="8">
        <f t="shared" si="34"/>
        <v>125280</v>
      </c>
      <c r="Q49" s="8">
        <f t="shared" si="34"/>
        <v>181440</v>
      </c>
      <c r="R49" s="8">
        <f t="shared" si="34"/>
        <v>30240</v>
      </c>
      <c r="S49" s="8">
        <f t="shared" si="34"/>
        <v>194400</v>
      </c>
      <c r="T49" s="8">
        <f t="shared" si="34"/>
        <v>591840</v>
      </c>
      <c r="U49" s="8">
        <f t="shared" si="34"/>
        <v>90720</v>
      </c>
      <c r="V49" s="8">
        <f t="shared" si="34"/>
        <v>622080</v>
      </c>
      <c r="W49" s="8">
        <f t="shared" si="34"/>
        <v>95040</v>
      </c>
      <c r="X49" s="8">
        <f t="shared" si="1"/>
        <v>7797600</v>
      </c>
      <c r="Y49" s="7"/>
    </row>
    <row r="50" spans="1:25" ht="33.75">
      <c r="A50" s="5" t="s">
        <v>109</v>
      </c>
      <c r="B50" s="6" t="s">
        <v>205</v>
      </c>
      <c r="C50" s="6" t="s">
        <v>27</v>
      </c>
      <c r="D50" s="11" t="s">
        <v>206</v>
      </c>
      <c r="E50" s="8">
        <f>E72*4320</f>
        <v>600480</v>
      </c>
      <c r="F50" s="8">
        <f t="shared" ref="F50:W50" si="35">F72*4320</f>
        <v>233280</v>
      </c>
      <c r="G50" s="8">
        <f t="shared" si="35"/>
        <v>276480</v>
      </c>
      <c r="H50" s="8">
        <f t="shared" si="35"/>
        <v>17280</v>
      </c>
      <c r="I50" s="8">
        <f t="shared" si="35"/>
        <v>488160</v>
      </c>
      <c r="J50" s="8">
        <f t="shared" si="35"/>
        <v>181440</v>
      </c>
      <c r="K50" s="8">
        <f t="shared" si="35"/>
        <v>168480</v>
      </c>
      <c r="L50" s="8">
        <f t="shared" si="35"/>
        <v>120960</v>
      </c>
      <c r="M50" s="8">
        <f t="shared" si="35"/>
        <v>21600</v>
      </c>
      <c r="N50" s="8">
        <f t="shared" si="35"/>
        <v>177120</v>
      </c>
      <c r="O50" s="8">
        <f t="shared" si="35"/>
        <v>4320</v>
      </c>
      <c r="P50" s="8">
        <f t="shared" si="35"/>
        <v>0</v>
      </c>
      <c r="Q50" s="8">
        <f t="shared" si="35"/>
        <v>129600</v>
      </c>
      <c r="R50" s="8">
        <f t="shared" si="35"/>
        <v>34560</v>
      </c>
      <c r="S50" s="8">
        <f t="shared" si="35"/>
        <v>0</v>
      </c>
      <c r="T50" s="8">
        <f t="shared" si="35"/>
        <v>99360</v>
      </c>
      <c r="U50" s="8">
        <f t="shared" si="35"/>
        <v>0</v>
      </c>
      <c r="V50" s="8">
        <f t="shared" si="35"/>
        <v>241920</v>
      </c>
      <c r="W50" s="8">
        <f t="shared" si="35"/>
        <v>0</v>
      </c>
      <c r="X50" s="8">
        <f t="shared" si="1"/>
        <v>2795040</v>
      </c>
      <c r="Y50" s="7"/>
    </row>
    <row r="51" spans="1:25">
      <c r="A51" s="5" t="s">
        <v>110</v>
      </c>
      <c r="B51" s="6" t="s">
        <v>207</v>
      </c>
      <c r="C51" s="6"/>
      <c r="D51" s="7" t="s">
        <v>20</v>
      </c>
      <c r="E51" s="8">
        <f>E52</f>
        <v>1383305.14</v>
      </c>
      <c r="F51" s="8">
        <f t="shared" ref="F51:W51" si="36">F52</f>
        <v>480682.29</v>
      </c>
      <c r="G51" s="8">
        <f t="shared" si="36"/>
        <v>407472</v>
      </c>
      <c r="H51" s="8">
        <f t="shared" si="36"/>
        <v>540593.14</v>
      </c>
      <c r="I51" s="8">
        <f t="shared" si="36"/>
        <v>1697520</v>
      </c>
      <c r="J51" s="8">
        <f t="shared" si="36"/>
        <v>274995.43</v>
      </c>
      <c r="K51" s="8">
        <f t="shared" si="36"/>
        <v>672387.43</v>
      </c>
      <c r="L51" s="8">
        <f t="shared" si="36"/>
        <v>259220.57</v>
      </c>
      <c r="M51" s="8">
        <f t="shared" si="36"/>
        <v>610066.29</v>
      </c>
      <c r="N51" s="8">
        <f t="shared" si="36"/>
        <v>175573.71</v>
      </c>
      <c r="O51" s="8">
        <f t="shared" si="36"/>
        <v>204569.14</v>
      </c>
      <c r="P51" s="8">
        <f t="shared" si="36"/>
        <v>128509.71</v>
      </c>
      <c r="Q51" s="8">
        <f t="shared" si="36"/>
        <v>188746.29</v>
      </c>
      <c r="R51" s="8">
        <f t="shared" si="36"/>
        <v>35595.43</v>
      </c>
      <c r="S51" s="8">
        <f t="shared" si="36"/>
        <v>197101.71</v>
      </c>
      <c r="T51" s="8">
        <f t="shared" si="36"/>
        <v>642833.14</v>
      </c>
      <c r="U51" s="8">
        <f t="shared" si="36"/>
        <v>95585.14</v>
      </c>
      <c r="V51" s="8">
        <f t="shared" si="36"/>
        <v>649566.86</v>
      </c>
      <c r="W51" s="8">
        <f t="shared" si="36"/>
        <v>96000</v>
      </c>
      <c r="X51" s="8">
        <f t="shared" si="1"/>
        <v>8740323.4199999981</v>
      </c>
      <c r="Y51" s="7"/>
    </row>
    <row r="52" spans="1:25" ht="22.5">
      <c r="A52" s="5" t="s">
        <v>111</v>
      </c>
      <c r="B52" s="6" t="s">
        <v>112</v>
      </c>
      <c r="C52" s="6" t="s">
        <v>27</v>
      </c>
      <c r="D52" s="7" t="s">
        <v>42</v>
      </c>
      <c r="E52" s="8">
        <f>ROUND(E30/0.07*0.02,2)</f>
        <v>1383305.14</v>
      </c>
      <c r="F52" s="8">
        <f t="shared" ref="F52:W52" si="37">ROUND(F30/0.07*0.02,2)</f>
        <v>480682.29</v>
      </c>
      <c r="G52" s="8">
        <f t="shared" si="37"/>
        <v>407472</v>
      </c>
      <c r="H52" s="8">
        <f t="shared" si="37"/>
        <v>540593.14</v>
      </c>
      <c r="I52" s="8">
        <f t="shared" si="37"/>
        <v>1697520</v>
      </c>
      <c r="J52" s="8">
        <f t="shared" si="37"/>
        <v>274995.43</v>
      </c>
      <c r="K52" s="8">
        <f t="shared" si="37"/>
        <v>672387.43</v>
      </c>
      <c r="L52" s="8">
        <f t="shared" si="37"/>
        <v>259220.57</v>
      </c>
      <c r="M52" s="8">
        <f t="shared" si="37"/>
        <v>610066.29</v>
      </c>
      <c r="N52" s="8">
        <f t="shared" si="37"/>
        <v>175573.71</v>
      </c>
      <c r="O52" s="8">
        <f t="shared" si="37"/>
        <v>204569.14</v>
      </c>
      <c r="P52" s="8">
        <f t="shared" si="37"/>
        <v>128509.71</v>
      </c>
      <c r="Q52" s="8">
        <f t="shared" si="37"/>
        <v>188746.29</v>
      </c>
      <c r="R52" s="8">
        <f t="shared" si="37"/>
        <v>35595.43</v>
      </c>
      <c r="S52" s="8">
        <f t="shared" si="37"/>
        <v>197101.71</v>
      </c>
      <c r="T52" s="8">
        <f t="shared" si="37"/>
        <v>642833.14</v>
      </c>
      <c r="U52" s="8">
        <f t="shared" si="37"/>
        <v>95585.14</v>
      </c>
      <c r="V52" s="8">
        <f t="shared" si="37"/>
        <v>649566.86</v>
      </c>
      <c r="W52" s="8">
        <f t="shared" si="37"/>
        <v>96000</v>
      </c>
      <c r="X52" s="8">
        <f t="shared" si="1"/>
        <v>8740323.4199999981</v>
      </c>
      <c r="Y52" s="7"/>
    </row>
    <row r="53" spans="1:25">
      <c r="A53" s="5" t="s">
        <v>113</v>
      </c>
      <c r="B53" s="6" t="s">
        <v>208</v>
      </c>
      <c r="C53" s="6"/>
      <c r="D53" s="7" t="s">
        <v>20</v>
      </c>
      <c r="E53" s="8">
        <f>E54</f>
        <v>32000</v>
      </c>
      <c r="F53" s="8">
        <f t="shared" ref="F53:W53" si="38">F54</f>
        <v>25000</v>
      </c>
      <c r="G53" s="8">
        <f t="shared" si="38"/>
        <v>32000</v>
      </c>
      <c r="H53" s="8">
        <f t="shared" si="38"/>
        <v>32000</v>
      </c>
      <c r="I53" s="8">
        <f t="shared" si="38"/>
        <v>25000</v>
      </c>
      <c r="J53" s="8">
        <f t="shared" si="38"/>
        <v>32000</v>
      </c>
      <c r="K53" s="8">
        <f t="shared" si="38"/>
        <v>0</v>
      </c>
      <c r="L53" s="8">
        <f t="shared" si="38"/>
        <v>32000</v>
      </c>
      <c r="M53" s="8">
        <f t="shared" si="38"/>
        <v>32000</v>
      </c>
      <c r="N53" s="8">
        <f t="shared" si="38"/>
        <v>0</v>
      </c>
      <c r="O53" s="8">
        <f t="shared" si="38"/>
        <v>0</v>
      </c>
      <c r="P53" s="8">
        <f t="shared" si="38"/>
        <v>32000</v>
      </c>
      <c r="Q53" s="8">
        <f t="shared" si="38"/>
        <v>0</v>
      </c>
      <c r="R53" s="8">
        <f t="shared" si="38"/>
        <v>0</v>
      </c>
      <c r="S53" s="8">
        <f t="shared" si="38"/>
        <v>0</v>
      </c>
      <c r="T53" s="8">
        <f t="shared" si="38"/>
        <v>0</v>
      </c>
      <c r="U53" s="8">
        <f t="shared" si="38"/>
        <v>0</v>
      </c>
      <c r="V53" s="8">
        <f t="shared" si="38"/>
        <v>32000</v>
      </c>
      <c r="W53" s="8">
        <f t="shared" si="38"/>
        <v>0</v>
      </c>
      <c r="X53" s="8">
        <f t="shared" si="1"/>
        <v>306000</v>
      </c>
      <c r="Y53" s="7"/>
    </row>
    <row r="54" spans="1:25" ht="90">
      <c r="A54" s="5" t="s">
        <v>114</v>
      </c>
      <c r="B54" s="6" t="s">
        <v>115</v>
      </c>
      <c r="C54" s="6" t="s">
        <v>27</v>
      </c>
      <c r="D54" s="11" t="s">
        <v>209</v>
      </c>
      <c r="E54" s="9">
        <v>32000</v>
      </c>
      <c r="F54" s="9">
        <v>25000</v>
      </c>
      <c r="G54" s="9">
        <v>32000</v>
      </c>
      <c r="H54" s="9">
        <v>32000</v>
      </c>
      <c r="I54" s="9">
        <v>25000</v>
      </c>
      <c r="J54" s="9">
        <v>32000</v>
      </c>
      <c r="K54" s="9"/>
      <c r="L54" s="9">
        <v>32000</v>
      </c>
      <c r="M54" s="9">
        <v>32000</v>
      </c>
      <c r="N54" s="9"/>
      <c r="O54" s="9"/>
      <c r="P54" s="9">
        <v>32000</v>
      </c>
      <c r="Q54" s="9"/>
      <c r="R54" s="9"/>
      <c r="S54" s="9"/>
      <c r="T54" s="9"/>
      <c r="U54" s="9"/>
      <c r="V54" s="9">
        <v>32000</v>
      </c>
      <c r="W54" s="9"/>
      <c r="X54" s="8">
        <f t="shared" si="1"/>
        <v>306000</v>
      </c>
      <c r="Y54" s="7"/>
    </row>
    <row r="55" spans="1:25">
      <c r="A55" s="5" t="s">
        <v>116</v>
      </c>
      <c r="B55" s="6" t="s">
        <v>210</v>
      </c>
      <c r="C55" s="6"/>
      <c r="D55" s="7" t="s">
        <v>20</v>
      </c>
      <c r="E55" s="8">
        <f>E56+E58</f>
        <v>61300</v>
      </c>
      <c r="F55" s="8">
        <f t="shared" ref="F55:W55" si="39">F56+F58</f>
        <v>26600</v>
      </c>
      <c r="G55" s="8">
        <f t="shared" si="39"/>
        <v>26800</v>
      </c>
      <c r="H55" s="8">
        <f t="shared" si="39"/>
        <v>5200</v>
      </c>
      <c r="I55" s="8">
        <f t="shared" si="39"/>
        <v>61200</v>
      </c>
      <c r="J55" s="8">
        <f t="shared" si="39"/>
        <v>18300</v>
      </c>
      <c r="K55" s="8">
        <f t="shared" si="39"/>
        <v>20100</v>
      </c>
      <c r="L55" s="8">
        <f t="shared" si="39"/>
        <v>13150</v>
      </c>
      <c r="M55" s="8">
        <f t="shared" si="39"/>
        <v>12000</v>
      </c>
      <c r="N55" s="8">
        <f t="shared" si="39"/>
        <v>18400</v>
      </c>
      <c r="O55" s="8">
        <f t="shared" si="39"/>
        <v>4600</v>
      </c>
      <c r="P55" s="8">
        <f t="shared" si="39"/>
        <v>3150</v>
      </c>
      <c r="Q55" s="8">
        <f t="shared" si="39"/>
        <v>12900</v>
      </c>
      <c r="R55" s="8">
        <f t="shared" si="39"/>
        <v>3200</v>
      </c>
      <c r="S55" s="8">
        <f t="shared" si="39"/>
        <v>3000</v>
      </c>
      <c r="T55" s="8">
        <f t="shared" si="39"/>
        <v>15350</v>
      </c>
      <c r="U55" s="8">
        <f t="shared" si="39"/>
        <v>1500</v>
      </c>
      <c r="V55" s="8">
        <f t="shared" si="39"/>
        <v>27300</v>
      </c>
      <c r="W55" s="8">
        <f t="shared" si="39"/>
        <v>350</v>
      </c>
      <c r="X55" s="8">
        <f t="shared" si="1"/>
        <v>334400</v>
      </c>
      <c r="Y55" s="7"/>
    </row>
    <row r="56" spans="1:25">
      <c r="A56" s="5" t="s">
        <v>117</v>
      </c>
      <c r="B56" s="6" t="s">
        <v>211</v>
      </c>
      <c r="C56" s="6" t="s">
        <v>27</v>
      </c>
      <c r="D56" s="7" t="s">
        <v>20</v>
      </c>
      <c r="E56" s="8">
        <f>E57</f>
        <v>55600</v>
      </c>
      <c r="F56" s="8">
        <f t="shared" ref="F56:W56" si="40">F57</f>
        <v>21600</v>
      </c>
      <c r="G56" s="8">
        <f t="shared" si="40"/>
        <v>25600</v>
      </c>
      <c r="H56" s="8">
        <f t="shared" si="40"/>
        <v>1600</v>
      </c>
      <c r="I56" s="8">
        <f t="shared" si="40"/>
        <v>45200</v>
      </c>
      <c r="J56" s="8">
        <f t="shared" si="40"/>
        <v>16800</v>
      </c>
      <c r="K56" s="8">
        <f t="shared" si="40"/>
        <v>15600</v>
      </c>
      <c r="L56" s="8">
        <f t="shared" si="40"/>
        <v>11200</v>
      </c>
      <c r="M56" s="8">
        <f t="shared" si="40"/>
        <v>2000</v>
      </c>
      <c r="N56" s="8">
        <f t="shared" si="40"/>
        <v>16400</v>
      </c>
      <c r="O56" s="8">
        <f t="shared" si="40"/>
        <v>400</v>
      </c>
      <c r="P56" s="8">
        <f t="shared" si="40"/>
        <v>0</v>
      </c>
      <c r="Q56" s="8">
        <f t="shared" si="40"/>
        <v>12000</v>
      </c>
      <c r="R56" s="8">
        <f t="shared" si="40"/>
        <v>3200</v>
      </c>
      <c r="S56" s="8">
        <f t="shared" si="40"/>
        <v>0</v>
      </c>
      <c r="T56" s="8">
        <f t="shared" si="40"/>
        <v>9200</v>
      </c>
      <c r="U56" s="8">
        <f t="shared" si="40"/>
        <v>0</v>
      </c>
      <c r="V56" s="8">
        <f t="shared" si="40"/>
        <v>22400</v>
      </c>
      <c r="W56" s="8">
        <f t="shared" si="40"/>
        <v>0</v>
      </c>
      <c r="X56" s="8">
        <f t="shared" si="1"/>
        <v>258800</v>
      </c>
      <c r="Y56" s="7"/>
    </row>
    <row r="57" spans="1:25" ht="45">
      <c r="A57" s="5" t="s">
        <v>118</v>
      </c>
      <c r="B57" s="6" t="s">
        <v>119</v>
      </c>
      <c r="C57" s="6" t="s">
        <v>27</v>
      </c>
      <c r="D57" s="11" t="s">
        <v>212</v>
      </c>
      <c r="E57" s="8">
        <f>E72*400</f>
        <v>55600</v>
      </c>
      <c r="F57" s="8">
        <f t="shared" ref="F57:W57" si="41">F72*400</f>
        <v>21600</v>
      </c>
      <c r="G57" s="8">
        <f t="shared" si="41"/>
        <v>25600</v>
      </c>
      <c r="H57" s="8">
        <f t="shared" si="41"/>
        <v>1600</v>
      </c>
      <c r="I57" s="8">
        <f t="shared" si="41"/>
        <v>45200</v>
      </c>
      <c r="J57" s="8">
        <f t="shared" si="41"/>
        <v>16800</v>
      </c>
      <c r="K57" s="8">
        <f t="shared" si="41"/>
        <v>15600</v>
      </c>
      <c r="L57" s="8">
        <f t="shared" si="41"/>
        <v>11200</v>
      </c>
      <c r="M57" s="8">
        <f t="shared" si="41"/>
        <v>2000</v>
      </c>
      <c r="N57" s="8">
        <f t="shared" si="41"/>
        <v>16400</v>
      </c>
      <c r="O57" s="8">
        <f t="shared" si="41"/>
        <v>400</v>
      </c>
      <c r="P57" s="8">
        <f t="shared" si="41"/>
        <v>0</v>
      </c>
      <c r="Q57" s="8">
        <f t="shared" si="41"/>
        <v>12000</v>
      </c>
      <c r="R57" s="8">
        <f t="shared" si="41"/>
        <v>3200</v>
      </c>
      <c r="S57" s="8">
        <f t="shared" si="41"/>
        <v>0</v>
      </c>
      <c r="T57" s="8">
        <f t="shared" si="41"/>
        <v>9200</v>
      </c>
      <c r="U57" s="8">
        <f t="shared" si="41"/>
        <v>0</v>
      </c>
      <c r="V57" s="8">
        <f t="shared" si="41"/>
        <v>22400</v>
      </c>
      <c r="W57" s="8">
        <f t="shared" si="41"/>
        <v>0</v>
      </c>
      <c r="X57" s="8">
        <f t="shared" si="1"/>
        <v>258800</v>
      </c>
      <c r="Y57" s="7"/>
    </row>
    <row r="58" spans="1:25">
      <c r="A58" s="5" t="s">
        <v>120</v>
      </c>
      <c r="B58" s="6" t="s">
        <v>213</v>
      </c>
      <c r="C58" s="6" t="s">
        <v>27</v>
      </c>
      <c r="D58" s="11" t="s">
        <v>121</v>
      </c>
      <c r="E58" s="12">
        <v>5700</v>
      </c>
      <c r="F58" s="12">
        <v>5000</v>
      </c>
      <c r="G58" s="12">
        <v>1200</v>
      </c>
      <c r="H58" s="12">
        <v>3600</v>
      </c>
      <c r="I58" s="12">
        <v>16000</v>
      </c>
      <c r="J58" s="12">
        <v>1500</v>
      </c>
      <c r="K58" s="12">
        <v>4500</v>
      </c>
      <c r="L58" s="12">
        <v>1950</v>
      </c>
      <c r="M58" s="12">
        <v>10000</v>
      </c>
      <c r="N58" s="12">
        <v>2000</v>
      </c>
      <c r="O58" s="12">
        <v>4200</v>
      </c>
      <c r="P58" s="12">
        <v>3150</v>
      </c>
      <c r="Q58" s="12">
        <v>900</v>
      </c>
      <c r="R58" s="12"/>
      <c r="S58" s="12">
        <v>3000</v>
      </c>
      <c r="T58" s="12">
        <v>6150</v>
      </c>
      <c r="U58" s="12">
        <v>1500</v>
      </c>
      <c r="V58" s="12">
        <v>4900</v>
      </c>
      <c r="W58" s="12">
        <v>350</v>
      </c>
      <c r="X58" s="8">
        <f t="shared" si="1"/>
        <v>75600</v>
      </c>
      <c r="Y58" s="7"/>
    </row>
    <row r="59" spans="1:25">
      <c r="A59" s="5" t="s">
        <v>122</v>
      </c>
      <c r="B59" s="6" t="s">
        <v>214</v>
      </c>
      <c r="C59" s="6"/>
      <c r="D59" s="7" t="s">
        <v>20</v>
      </c>
      <c r="E59" s="8">
        <f>E60</f>
        <v>10000</v>
      </c>
      <c r="F59" s="8">
        <f t="shared" ref="F59:W59" si="42">F60</f>
        <v>0</v>
      </c>
      <c r="G59" s="8">
        <f t="shared" si="42"/>
        <v>0</v>
      </c>
      <c r="H59" s="8">
        <f t="shared" si="42"/>
        <v>10000</v>
      </c>
      <c r="I59" s="8">
        <f t="shared" si="42"/>
        <v>20000</v>
      </c>
      <c r="J59" s="8">
        <f t="shared" si="42"/>
        <v>0</v>
      </c>
      <c r="K59" s="8">
        <f t="shared" si="42"/>
        <v>32000</v>
      </c>
      <c r="L59" s="8">
        <f t="shared" si="42"/>
        <v>0</v>
      </c>
      <c r="M59" s="8">
        <f t="shared" si="42"/>
        <v>0</v>
      </c>
      <c r="N59" s="8">
        <f t="shared" si="42"/>
        <v>32000</v>
      </c>
      <c r="O59" s="8">
        <f t="shared" si="42"/>
        <v>32000</v>
      </c>
      <c r="P59" s="8">
        <f t="shared" si="42"/>
        <v>0</v>
      </c>
      <c r="Q59" s="8">
        <f t="shared" si="42"/>
        <v>32000</v>
      </c>
      <c r="R59" s="8">
        <f t="shared" si="42"/>
        <v>32000</v>
      </c>
      <c r="S59" s="8">
        <f t="shared" si="42"/>
        <v>32000</v>
      </c>
      <c r="T59" s="8">
        <f t="shared" si="42"/>
        <v>32000</v>
      </c>
      <c r="U59" s="8">
        <f t="shared" si="42"/>
        <v>32000</v>
      </c>
      <c r="V59" s="8">
        <f t="shared" si="42"/>
        <v>25000</v>
      </c>
      <c r="W59" s="8">
        <f t="shared" si="42"/>
        <v>32000</v>
      </c>
      <c r="X59" s="8">
        <f t="shared" si="1"/>
        <v>353000</v>
      </c>
      <c r="Y59" s="7"/>
    </row>
    <row r="60" spans="1:25" ht="135.75" thickBot="1">
      <c r="A60" s="5" t="s">
        <v>123</v>
      </c>
      <c r="B60" s="13" t="s">
        <v>124</v>
      </c>
      <c r="C60" s="6" t="s">
        <v>27</v>
      </c>
      <c r="D60" s="14" t="s">
        <v>215</v>
      </c>
      <c r="E60" s="2">
        <v>10000</v>
      </c>
      <c r="F60" s="2"/>
      <c r="G60" s="2"/>
      <c r="H60" s="2">
        <v>10000</v>
      </c>
      <c r="I60" s="2">
        <v>20000</v>
      </c>
      <c r="J60" s="2"/>
      <c r="K60" s="2">
        <v>32000</v>
      </c>
      <c r="L60" s="2"/>
      <c r="M60" s="2"/>
      <c r="N60" s="2">
        <v>32000</v>
      </c>
      <c r="O60" s="2">
        <v>32000</v>
      </c>
      <c r="P60" s="2"/>
      <c r="Q60" s="2">
        <v>32000</v>
      </c>
      <c r="R60" s="2">
        <v>32000</v>
      </c>
      <c r="S60" s="2">
        <v>32000</v>
      </c>
      <c r="T60" s="2">
        <v>32000</v>
      </c>
      <c r="U60" s="2">
        <v>32000</v>
      </c>
      <c r="V60" s="2">
        <v>25000</v>
      </c>
      <c r="W60" s="2">
        <v>32000</v>
      </c>
      <c r="X60" s="8">
        <f t="shared" si="1"/>
        <v>353000</v>
      </c>
      <c r="Y60" s="15"/>
    </row>
    <row r="61" spans="1:25" ht="12" thickTop="1">
      <c r="A61" s="5" t="s">
        <v>125</v>
      </c>
      <c r="B61" s="16" t="s">
        <v>126</v>
      </c>
      <c r="C61" s="16"/>
      <c r="D61" s="17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8">
        <f t="shared" si="1"/>
        <v>0</v>
      </c>
      <c r="Y61" s="19"/>
    </row>
    <row r="62" spans="1:25" ht="33.75">
      <c r="A62" s="5" t="s">
        <v>127</v>
      </c>
      <c r="B62" s="6" t="s">
        <v>128</v>
      </c>
      <c r="C62" s="6"/>
      <c r="D62" s="7" t="s">
        <v>216</v>
      </c>
      <c r="E62" s="8">
        <f>E63+E64+E65+E66</f>
        <v>265</v>
      </c>
      <c r="F62" s="8">
        <f t="shared" ref="F62:W62" si="43">F63+F64+F65+F66</f>
        <v>97</v>
      </c>
      <c r="G62" s="8">
        <f t="shared" si="43"/>
        <v>80</v>
      </c>
      <c r="H62" s="8">
        <f t="shared" si="43"/>
        <v>114</v>
      </c>
      <c r="I62" s="8">
        <f t="shared" si="43"/>
        <v>347</v>
      </c>
      <c r="J62" s="8">
        <f t="shared" si="43"/>
        <v>56</v>
      </c>
      <c r="K62" s="8">
        <f t="shared" si="43"/>
        <v>132</v>
      </c>
      <c r="L62" s="8">
        <f t="shared" si="43"/>
        <v>54</v>
      </c>
      <c r="M62" s="8">
        <f t="shared" si="43"/>
        <v>125</v>
      </c>
      <c r="N62" s="8">
        <f t="shared" si="43"/>
        <v>40</v>
      </c>
      <c r="O62" s="8">
        <f t="shared" si="43"/>
        <v>48</v>
      </c>
      <c r="P62" s="8">
        <f t="shared" si="43"/>
        <v>29</v>
      </c>
      <c r="Q62" s="8">
        <f t="shared" si="43"/>
        <v>42</v>
      </c>
      <c r="R62" s="8">
        <f t="shared" si="43"/>
        <v>7</v>
      </c>
      <c r="S62" s="8">
        <f t="shared" si="43"/>
        <v>45</v>
      </c>
      <c r="T62" s="8">
        <f t="shared" si="43"/>
        <v>137</v>
      </c>
      <c r="U62" s="8">
        <f t="shared" si="43"/>
        <v>21</v>
      </c>
      <c r="V62" s="8">
        <f t="shared" si="43"/>
        <v>144</v>
      </c>
      <c r="W62" s="8">
        <f t="shared" si="43"/>
        <v>22</v>
      </c>
      <c r="X62" s="8">
        <f t="shared" si="1"/>
        <v>1805</v>
      </c>
      <c r="Y62" s="7"/>
    </row>
    <row r="63" spans="1:25">
      <c r="A63" s="5" t="s">
        <v>129</v>
      </c>
      <c r="B63" s="20" t="s">
        <v>130</v>
      </c>
      <c r="C63" s="20"/>
      <c r="D63" s="7"/>
      <c r="E63" s="9">
        <v>265</v>
      </c>
      <c r="F63" s="9">
        <v>97</v>
      </c>
      <c r="G63" s="9">
        <v>80</v>
      </c>
      <c r="H63" s="9">
        <v>114</v>
      </c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>
        <v>85</v>
      </c>
      <c r="U63" s="9"/>
      <c r="V63" s="9"/>
      <c r="W63" s="9"/>
      <c r="X63" s="8">
        <f t="shared" si="1"/>
        <v>641</v>
      </c>
      <c r="Y63" s="7"/>
    </row>
    <row r="64" spans="1:25">
      <c r="A64" s="5" t="s">
        <v>131</v>
      </c>
      <c r="B64" s="20" t="s">
        <v>132</v>
      </c>
      <c r="C64" s="20"/>
      <c r="D64" s="7"/>
      <c r="E64" s="9"/>
      <c r="F64" s="9"/>
      <c r="G64" s="9"/>
      <c r="H64" s="9"/>
      <c r="I64" s="9">
        <v>347</v>
      </c>
      <c r="J64" s="9">
        <v>56</v>
      </c>
      <c r="K64" s="9">
        <v>132</v>
      </c>
      <c r="L64" s="9">
        <v>54</v>
      </c>
      <c r="M64" s="9">
        <v>125</v>
      </c>
      <c r="N64" s="9"/>
      <c r="O64" s="9"/>
      <c r="P64" s="9"/>
      <c r="Q64" s="9"/>
      <c r="R64" s="9"/>
      <c r="S64" s="9"/>
      <c r="T64" s="9">
        <v>52</v>
      </c>
      <c r="U64" s="9"/>
      <c r="V64" s="9"/>
      <c r="W64" s="9"/>
      <c r="X64" s="8">
        <f t="shared" si="1"/>
        <v>766</v>
      </c>
      <c r="Y64" s="7"/>
    </row>
    <row r="65" spans="1:25">
      <c r="A65" s="5" t="s">
        <v>133</v>
      </c>
      <c r="B65" s="20" t="s">
        <v>134</v>
      </c>
      <c r="C65" s="20"/>
      <c r="D65" s="7"/>
      <c r="E65" s="9"/>
      <c r="F65" s="9"/>
      <c r="G65" s="9"/>
      <c r="H65" s="9"/>
      <c r="I65" s="9"/>
      <c r="J65" s="9"/>
      <c r="K65" s="9"/>
      <c r="L65" s="9"/>
      <c r="M65" s="9"/>
      <c r="N65" s="9">
        <v>40</v>
      </c>
      <c r="O65" s="9">
        <v>48</v>
      </c>
      <c r="P65" s="9">
        <v>29</v>
      </c>
      <c r="Q65" s="9">
        <v>42</v>
      </c>
      <c r="R65" s="9"/>
      <c r="S65" s="9">
        <v>45</v>
      </c>
      <c r="T65" s="9"/>
      <c r="U65" s="9">
        <v>21</v>
      </c>
      <c r="V65" s="9">
        <v>144</v>
      </c>
      <c r="W65" s="9">
        <v>22</v>
      </c>
      <c r="X65" s="8">
        <f t="shared" si="1"/>
        <v>391</v>
      </c>
      <c r="Y65" s="7"/>
    </row>
    <row r="66" spans="1:25">
      <c r="A66" s="5" t="s">
        <v>135</v>
      </c>
      <c r="B66" s="20" t="s">
        <v>136</v>
      </c>
      <c r="C66" s="20"/>
      <c r="D66" s="7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>
        <v>7</v>
      </c>
      <c r="S66" s="9"/>
      <c r="T66" s="9"/>
      <c r="U66" s="9"/>
      <c r="V66" s="9"/>
      <c r="W66" s="9"/>
      <c r="X66" s="8">
        <f t="shared" si="1"/>
        <v>7</v>
      </c>
      <c r="Y66" s="7"/>
    </row>
    <row r="67" spans="1:25" ht="56.25">
      <c r="A67" s="5" t="s">
        <v>137</v>
      </c>
      <c r="B67" s="6" t="s">
        <v>138</v>
      </c>
      <c r="C67" s="6"/>
      <c r="D67" s="7" t="s">
        <v>217</v>
      </c>
      <c r="E67" s="8">
        <f>E68+E69+E70+E71</f>
        <v>3840</v>
      </c>
      <c r="F67" s="8">
        <f t="shared" ref="F67:W67" si="44">F68+F69+F70+F71</f>
        <v>1476</v>
      </c>
      <c r="G67" s="8">
        <f t="shared" si="44"/>
        <v>1210</v>
      </c>
      <c r="H67" s="8">
        <f t="shared" si="44"/>
        <v>1818</v>
      </c>
      <c r="I67" s="8">
        <f t="shared" si="44"/>
        <v>5574</v>
      </c>
      <c r="J67" s="8">
        <f t="shared" si="44"/>
        <v>793</v>
      </c>
      <c r="K67" s="8">
        <f t="shared" si="44"/>
        <v>2235</v>
      </c>
      <c r="L67" s="8">
        <f t="shared" si="44"/>
        <v>768</v>
      </c>
      <c r="M67" s="8">
        <f t="shared" si="44"/>
        <v>1980</v>
      </c>
      <c r="N67" s="8">
        <f t="shared" si="44"/>
        <v>322</v>
      </c>
      <c r="O67" s="8">
        <f t="shared" si="44"/>
        <v>547</v>
      </c>
      <c r="P67" s="8">
        <f t="shared" si="44"/>
        <v>309</v>
      </c>
      <c r="Q67" s="8">
        <f t="shared" si="44"/>
        <v>382</v>
      </c>
      <c r="R67" s="8">
        <f t="shared" si="44"/>
        <v>0</v>
      </c>
      <c r="S67" s="8">
        <f t="shared" si="44"/>
        <v>309</v>
      </c>
      <c r="T67" s="8">
        <f t="shared" si="44"/>
        <v>2311</v>
      </c>
      <c r="U67" s="8">
        <f t="shared" si="44"/>
        <v>255</v>
      </c>
      <c r="V67" s="8">
        <f t="shared" si="44"/>
        <v>1355</v>
      </c>
      <c r="W67" s="8">
        <f t="shared" si="44"/>
        <v>288</v>
      </c>
      <c r="X67" s="8">
        <f t="shared" si="1"/>
        <v>25772</v>
      </c>
      <c r="Y67" s="7"/>
    </row>
    <row r="68" spans="1:25">
      <c r="A68" s="5" t="s">
        <v>139</v>
      </c>
      <c r="B68" s="20" t="s">
        <v>130</v>
      </c>
      <c r="C68" s="20"/>
      <c r="D68" s="7"/>
      <c r="E68" s="9">
        <v>3840</v>
      </c>
      <c r="F68" s="9">
        <v>1476</v>
      </c>
      <c r="G68" s="9">
        <v>1210</v>
      </c>
      <c r="H68" s="9">
        <v>1818</v>
      </c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>
        <v>1253</v>
      </c>
      <c r="U68" s="9"/>
      <c r="V68" s="9"/>
      <c r="W68" s="9"/>
      <c r="X68" s="8">
        <f t="shared" ref="X68:X74" si="45">SUM(E68:W68)</f>
        <v>9597</v>
      </c>
      <c r="Y68" s="7"/>
    </row>
    <row r="69" spans="1:25">
      <c r="A69" s="5" t="s">
        <v>140</v>
      </c>
      <c r="B69" s="20" t="s">
        <v>132</v>
      </c>
      <c r="C69" s="20"/>
      <c r="D69" s="7"/>
      <c r="E69" s="9"/>
      <c r="F69" s="9"/>
      <c r="G69" s="9"/>
      <c r="H69" s="9"/>
      <c r="I69" s="9">
        <v>5574</v>
      </c>
      <c r="J69" s="9">
        <v>793</v>
      </c>
      <c r="K69" s="9">
        <v>2235</v>
      </c>
      <c r="L69" s="9">
        <v>768</v>
      </c>
      <c r="M69" s="9">
        <v>1980</v>
      </c>
      <c r="N69" s="9"/>
      <c r="O69" s="9"/>
      <c r="P69" s="9"/>
      <c r="Q69" s="9"/>
      <c r="R69" s="9"/>
      <c r="S69" s="9"/>
      <c r="T69" s="9">
        <v>1058</v>
      </c>
      <c r="U69" s="9"/>
      <c r="V69" s="9"/>
      <c r="W69" s="9"/>
      <c r="X69" s="8">
        <f t="shared" si="45"/>
        <v>12408</v>
      </c>
      <c r="Y69" s="7"/>
    </row>
    <row r="70" spans="1:25">
      <c r="A70" s="5" t="s">
        <v>141</v>
      </c>
      <c r="B70" s="20" t="s">
        <v>134</v>
      </c>
      <c r="C70" s="20"/>
      <c r="D70" s="7"/>
      <c r="E70" s="9"/>
      <c r="F70" s="9"/>
      <c r="G70" s="9"/>
      <c r="H70" s="9"/>
      <c r="I70" s="9"/>
      <c r="J70" s="9"/>
      <c r="K70" s="9"/>
      <c r="L70" s="9"/>
      <c r="M70" s="9"/>
      <c r="N70" s="9">
        <v>322</v>
      </c>
      <c r="O70" s="9">
        <v>547</v>
      </c>
      <c r="P70" s="9">
        <v>309</v>
      </c>
      <c r="Q70" s="9">
        <v>382</v>
      </c>
      <c r="R70" s="9"/>
      <c r="S70" s="9">
        <v>309</v>
      </c>
      <c r="T70" s="9"/>
      <c r="U70" s="9">
        <v>255</v>
      </c>
      <c r="V70" s="9">
        <v>1355</v>
      </c>
      <c r="W70" s="9">
        <v>288</v>
      </c>
      <c r="X70" s="8">
        <f t="shared" si="45"/>
        <v>3767</v>
      </c>
      <c r="Y70" s="7"/>
    </row>
    <row r="71" spans="1:25">
      <c r="A71" s="5" t="s">
        <v>142</v>
      </c>
      <c r="B71" s="20" t="s">
        <v>136</v>
      </c>
      <c r="C71" s="20"/>
      <c r="D71" s="7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8">
        <f t="shared" si="45"/>
        <v>0</v>
      </c>
      <c r="Y71" s="7"/>
    </row>
    <row r="72" spans="1:25">
      <c r="A72" s="5" t="s">
        <v>143</v>
      </c>
      <c r="B72" s="6" t="s">
        <v>218</v>
      </c>
      <c r="C72" s="6"/>
      <c r="D72" s="7"/>
      <c r="E72" s="9">
        <v>139</v>
      </c>
      <c r="F72" s="9">
        <v>54</v>
      </c>
      <c r="G72" s="9">
        <v>64</v>
      </c>
      <c r="H72" s="9">
        <v>4</v>
      </c>
      <c r="I72" s="9">
        <v>113</v>
      </c>
      <c r="J72" s="9">
        <v>42</v>
      </c>
      <c r="K72" s="9">
        <v>39</v>
      </c>
      <c r="L72" s="9">
        <v>28</v>
      </c>
      <c r="M72" s="9">
        <v>5</v>
      </c>
      <c r="N72" s="9">
        <v>41</v>
      </c>
      <c r="O72" s="9">
        <v>1</v>
      </c>
      <c r="P72" s="9"/>
      <c r="Q72" s="9">
        <v>30</v>
      </c>
      <c r="R72" s="9">
        <v>8</v>
      </c>
      <c r="S72" s="9"/>
      <c r="T72" s="9">
        <v>23</v>
      </c>
      <c r="U72" s="9"/>
      <c r="V72" s="9">
        <v>56</v>
      </c>
      <c r="W72" s="9"/>
      <c r="X72" s="8">
        <f t="shared" si="45"/>
        <v>647</v>
      </c>
      <c r="Y72" s="7"/>
    </row>
    <row r="73" spans="1:25">
      <c r="A73" s="5" t="s">
        <v>144</v>
      </c>
      <c r="B73" s="20" t="s">
        <v>219</v>
      </c>
      <c r="C73" s="20"/>
      <c r="D73" s="11"/>
      <c r="E73" s="9">
        <v>32490.31</v>
      </c>
      <c r="F73" s="9">
        <v>13160</v>
      </c>
      <c r="G73" s="9">
        <v>8951.8799999999992</v>
      </c>
      <c r="H73" s="9">
        <v>11355.73</v>
      </c>
      <c r="I73" s="9">
        <v>38028.839999999997</v>
      </c>
      <c r="J73" s="9">
        <v>4631.83</v>
      </c>
      <c r="K73" s="9">
        <v>12756.42</v>
      </c>
      <c r="L73" s="9">
        <v>9285.57</v>
      </c>
      <c r="M73" s="9">
        <v>14358.21</v>
      </c>
      <c r="N73" s="9">
        <v>4286</v>
      </c>
      <c r="O73" s="9">
        <v>13349.34</v>
      </c>
      <c r="P73" s="9">
        <v>3731.92</v>
      </c>
      <c r="Q73" s="9">
        <v>4612</v>
      </c>
      <c r="R73" s="9">
        <v>2800</v>
      </c>
      <c r="S73" s="9">
        <v>6500</v>
      </c>
      <c r="T73" s="9">
        <v>32335.57</v>
      </c>
      <c r="U73" s="9">
        <v>6995</v>
      </c>
      <c r="V73" s="9">
        <v>23029.07</v>
      </c>
      <c r="W73" s="9">
        <v>8272.89</v>
      </c>
      <c r="X73" s="8">
        <f t="shared" si="45"/>
        <v>250930.58000000002</v>
      </c>
      <c r="Y73" s="7"/>
    </row>
    <row r="74" spans="1:25">
      <c r="A74" s="5" t="s">
        <v>145</v>
      </c>
      <c r="B74" s="20" t="s">
        <v>220</v>
      </c>
      <c r="C74" s="20"/>
      <c r="D74" s="11"/>
      <c r="E74" s="9">
        <v>17447</v>
      </c>
      <c r="F74" s="9">
        <v>8691</v>
      </c>
      <c r="G74" s="9">
        <v>6496</v>
      </c>
      <c r="H74" s="9">
        <v>4073</v>
      </c>
      <c r="I74" s="9">
        <v>12339</v>
      </c>
      <c r="J74" s="9">
        <v>3226</v>
      </c>
      <c r="K74" s="9">
        <v>6620</v>
      </c>
      <c r="L74" s="9">
        <v>3585</v>
      </c>
      <c r="M74" s="9">
        <v>7880</v>
      </c>
      <c r="N74" s="9">
        <v>2350</v>
      </c>
      <c r="O74" s="9">
        <v>6044.7</v>
      </c>
      <c r="P74" s="9">
        <v>1786</v>
      </c>
      <c r="Q74" s="9">
        <v>1717</v>
      </c>
      <c r="R74" s="9"/>
      <c r="S74" s="9">
        <v>2312.1</v>
      </c>
      <c r="T74" s="9">
        <v>17204.3</v>
      </c>
      <c r="U74" s="9">
        <v>3698.1</v>
      </c>
      <c r="V74" s="9">
        <v>9430</v>
      </c>
      <c r="W74" s="9">
        <v>2981.45</v>
      </c>
      <c r="X74" s="8">
        <f t="shared" si="45"/>
        <v>117880.65000000001</v>
      </c>
      <c r="Y74" s="7"/>
    </row>
  </sheetData>
  <protectedRanges>
    <protectedRange password="E9C1" sqref="D30 C31 A5:D6 B7:D29 B32:D74 A7:A74 A2:Y4 X5:Y74" name="区域1_1"/>
    <protectedRange password="E9C1" sqref="B30:C30 B31" name="区域1_1_1"/>
    <protectedRange password="E9C1" sqref="D31" name="区域1_2"/>
  </protectedRanges>
  <mergeCells count="7">
    <mergeCell ref="A1:Y1"/>
    <mergeCell ref="A2:A3"/>
    <mergeCell ref="B2:B3"/>
    <mergeCell ref="C2:C3"/>
    <mergeCell ref="D2:D3"/>
    <mergeCell ref="X2:X3"/>
    <mergeCell ref="Y2:Y3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Y75"/>
  <sheetViews>
    <sheetView topLeftCell="D1" workbookViewId="0">
      <selection activeCell="C75" sqref="A75:XFD75"/>
    </sheetView>
  </sheetViews>
  <sheetFormatPr defaultRowHeight="13.5"/>
  <cols>
    <col min="1" max="1" width="9" style="29"/>
    <col min="2" max="2" width="15" style="29" customWidth="1"/>
    <col min="3" max="4" width="9" style="29"/>
    <col min="5" max="5" width="10.5" style="3" customWidth="1"/>
    <col min="6" max="6" width="10.875" style="3" customWidth="1"/>
    <col min="7" max="7" width="10.5" style="3" customWidth="1"/>
    <col min="8" max="8" width="11" style="3" customWidth="1"/>
    <col min="9" max="9" width="10.5" style="3" customWidth="1"/>
    <col min="10" max="10" width="10.375" style="3" customWidth="1"/>
    <col min="11" max="11" width="10.625" style="3" customWidth="1"/>
    <col min="12" max="12" width="10.375" style="3" customWidth="1"/>
    <col min="13" max="13" width="11" style="3" customWidth="1"/>
    <col min="14" max="14" width="11.625" style="3" customWidth="1"/>
    <col min="15" max="15" width="11" style="3" customWidth="1"/>
    <col min="16" max="16" width="11.125" style="3" customWidth="1"/>
    <col min="17" max="17" width="9.75" style="3" customWidth="1"/>
    <col min="18" max="23" width="9" style="3"/>
    <col min="24" max="24" width="16.25" style="33" customWidth="1"/>
    <col min="25" max="16384" width="9" style="29"/>
  </cols>
  <sheetData>
    <row r="1" spans="1:25" ht="25.5">
      <c r="A1" s="98" t="s">
        <v>168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</row>
    <row r="2" spans="1:25" s="3" customFormat="1" ht="11.25">
      <c r="A2" s="93" t="s">
        <v>1</v>
      </c>
      <c r="B2" s="93" t="s">
        <v>2</v>
      </c>
      <c r="C2" s="93" t="s">
        <v>3</v>
      </c>
      <c r="D2" s="93" t="s">
        <v>4</v>
      </c>
      <c r="E2" s="4" t="s">
        <v>343</v>
      </c>
      <c r="F2" s="4" t="s">
        <v>255</v>
      </c>
      <c r="G2" s="4" t="s">
        <v>344</v>
      </c>
      <c r="H2" s="4" t="s">
        <v>256</v>
      </c>
      <c r="I2" s="4" t="s">
        <v>345</v>
      </c>
      <c r="J2" s="4" t="s">
        <v>346</v>
      </c>
      <c r="K2" s="4" t="s">
        <v>347</v>
      </c>
      <c r="L2" s="4" t="s">
        <v>348</v>
      </c>
      <c r="M2" s="4" t="s">
        <v>349</v>
      </c>
      <c r="N2" s="4" t="s">
        <v>350</v>
      </c>
      <c r="O2" s="4" t="s">
        <v>257</v>
      </c>
      <c r="P2" s="4" t="s">
        <v>258</v>
      </c>
      <c r="Q2" s="4" t="s">
        <v>351</v>
      </c>
      <c r="R2" s="4" t="s">
        <v>352</v>
      </c>
      <c r="S2" s="4" t="s">
        <v>353</v>
      </c>
      <c r="T2" s="4" t="s">
        <v>259</v>
      </c>
      <c r="U2" s="4" t="s">
        <v>260</v>
      </c>
      <c r="V2" s="4" t="s">
        <v>354</v>
      </c>
      <c r="W2" s="4" t="s">
        <v>355</v>
      </c>
      <c r="X2" s="99" t="s">
        <v>16</v>
      </c>
      <c r="Y2" s="93" t="s">
        <v>17</v>
      </c>
    </row>
    <row r="3" spans="1:25" s="3" customFormat="1" ht="11.25">
      <c r="A3" s="94"/>
      <c r="B3" s="94"/>
      <c r="C3" s="94"/>
      <c r="D3" s="94"/>
      <c r="E3" s="4" t="s">
        <v>339</v>
      </c>
      <c r="F3" s="4" t="s">
        <v>339</v>
      </c>
      <c r="G3" s="4" t="s">
        <v>324</v>
      </c>
      <c r="H3" s="4" t="s">
        <v>339</v>
      </c>
      <c r="I3" s="4" t="s">
        <v>324</v>
      </c>
      <c r="J3" s="4" t="s">
        <v>340</v>
      </c>
      <c r="K3" s="4" t="s">
        <v>340</v>
      </c>
      <c r="L3" s="4" t="s">
        <v>340</v>
      </c>
      <c r="M3" s="4" t="s">
        <v>340</v>
      </c>
      <c r="N3" s="4" t="s">
        <v>340</v>
      </c>
      <c r="O3" s="4" t="s">
        <v>341</v>
      </c>
      <c r="P3" s="4" t="s">
        <v>341</v>
      </c>
      <c r="Q3" s="4" t="s">
        <v>341</v>
      </c>
      <c r="R3" s="4" t="s">
        <v>341</v>
      </c>
      <c r="S3" s="4" t="s">
        <v>341</v>
      </c>
      <c r="T3" s="4" t="s">
        <v>341</v>
      </c>
      <c r="U3" s="4" t="s">
        <v>341</v>
      </c>
      <c r="V3" s="4" t="s">
        <v>341</v>
      </c>
      <c r="W3" s="4" t="s">
        <v>166</v>
      </c>
      <c r="X3" s="100"/>
      <c r="Y3" s="94"/>
    </row>
    <row r="4" spans="1:25">
      <c r="A4" s="5" t="s">
        <v>18</v>
      </c>
      <c r="B4" s="6" t="s">
        <v>19</v>
      </c>
      <c r="C4" s="6"/>
      <c r="D4" s="7" t="s">
        <v>20</v>
      </c>
      <c r="E4" s="8">
        <f t="shared" ref="E4:W4" si="0">E5+E32+E39</f>
        <v>37951941</v>
      </c>
      <c r="F4" s="8">
        <f t="shared" si="0"/>
        <v>35388597</v>
      </c>
      <c r="G4" s="8">
        <f t="shared" si="0"/>
        <v>41891999.710000001</v>
      </c>
      <c r="H4" s="8">
        <f t="shared" si="0"/>
        <v>41610483.850000001</v>
      </c>
      <c r="I4" s="8">
        <f t="shared" si="0"/>
        <v>24715372.919999998</v>
      </c>
      <c r="J4" s="8">
        <f t="shared" si="0"/>
        <v>42870367.520000003</v>
      </c>
      <c r="K4" s="8">
        <f t="shared" si="0"/>
        <v>32957041.699999999</v>
      </c>
      <c r="L4" s="8">
        <f t="shared" si="0"/>
        <v>30148563.699999999</v>
      </c>
      <c r="M4" s="8">
        <f t="shared" si="0"/>
        <v>38649564.450000003</v>
      </c>
      <c r="N4" s="8">
        <f t="shared" si="0"/>
        <v>28475078.880000003</v>
      </c>
      <c r="O4" s="8">
        <f t="shared" si="0"/>
        <v>21073325.280000001</v>
      </c>
      <c r="P4" s="8">
        <f t="shared" si="0"/>
        <v>22594397.699999999</v>
      </c>
      <c r="Q4" s="8">
        <f t="shared" si="0"/>
        <v>21726414.800000001</v>
      </c>
      <c r="R4" s="8">
        <f t="shared" si="0"/>
        <v>8347308.7299999995</v>
      </c>
      <c r="S4" s="8">
        <f t="shared" si="0"/>
        <v>12236045.050000001</v>
      </c>
      <c r="T4" s="8">
        <f t="shared" si="0"/>
        <v>11068116</v>
      </c>
      <c r="U4" s="8">
        <f t="shared" si="0"/>
        <v>14535387.969999999</v>
      </c>
      <c r="V4" s="8">
        <f t="shared" si="0"/>
        <v>16057071.850000001</v>
      </c>
      <c r="W4" s="8">
        <f t="shared" si="0"/>
        <v>2867881.42</v>
      </c>
      <c r="X4" s="30">
        <f>SUM(E4:W4)</f>
        <v>485164959.53000003</v>
      </c>
      <c r="Y4" s="31"/>
    </row>
    <row r="5" spans="1:25">
      <c r="A5" s="5" t="s">
        <v>21</v>
      </c>
      <c r="B5" s="6" t="s">
        <v>22</v>
      </c>
      <c r="C5" s="6"/>
      <c r="D5" s="7" t="s">
        <v>20</v>
      </c>
      <c r="E5" s="8">
        <f t="shared" ref="E5:W5" si="1">E6+E9+E13+E16+E21+E26+E28+E30+E31</f>
        <v>30300296</v>
      </c>
      <c r="F5" s="8">
        <f t="shared" si="1"/>
        <v>28500912</v>
      </c>
      <c r="G5" s="8">
        <f t="shared" si="1"/>
        <v>35296734.289999999</v>
      </c>
      <c r="H5" s="8">
        <f t="shared" si="1"/>
        <v>33923570.200000003</v>
      </c>
      <c r="I5" s="8">
        <f t="shared" si="1"/>
        <v>20044966.849999998</v>
      </c>
      <c r="J5" s="8">
        <f t="shared" si="1"/>
        <v>33239356.559999999</v>
      </c>
      <c r="K5" s="8">
        <f t="shared" si="1"/>
        <v>25364757.710000001</v>
      </c>
      <c r="L5" s="8">
        <f t="shared" si="1"/>
        <v>23321506.289999999</v>
      </c>
      <c r="M5" s="8">
        <f t="shared" si="1"/>
        <v>32681022.310000002</v>
      </c>
      <c r="N5" s="8">
        <f t="shared" si="1"/>
        <v>23574315.440000001</v>
      </c>
      <c r="O5" s="8">
        <f t="shared" si="1"/>
        <v>18041741.440000001</v>
      </c>
      <c r="P5" s="8">
        <f t="shared" si="1"/>
        <v>18954661</v>
      </c>
      <c r="Q5" s="8">
        <f t="shared" si="1"/>
        <v>18998362</v>
      </c>
      <c r="R5" s="8">
        <f t="shared" si="1"/>
        <v>7106874.4399999995</v>
      </c>
      <c r="S5" s="8">
        <f t="shared" si="1"/>
        <v>9849364</v>
      </c>
      <c r="T5" s="8">
        <f t="shared" si="1"/>
        <v>8814010</v>
      </c>
      <c r="U5" s="8">
        <f t="shared" si="1"/>
        <v>12200590.289999999</v>
      </c>
      <c r="V5" s="8">
        <f t="shared" si="1"/>
        <v>13401558.710000001</v>
      </c>
      <c r="W5" s="8">
        <f t="shared" si="1"/>
        <v>2159034.85</v>
      </c>
      <c r="X5" s="30">
        <f t="shared" ref="X5:X68" si="2">SUM(E5:W5)</f>
        <v>395773634.38000005</v>
      </c>
      <c r="Y5" s="31"/>
    </row>
    <row r="6" spans="1:25">
      <c r="A6" s="5" t="s">
        <v>23</v>
      </c>
      <c r="B6" s="6" t="s">
        <v>24</v>
      </c>
      <c r="C6" s="6"/>
      <c r="D6" s="7" t="s">
        <v>20</v>
      </c>
      <c r="E6" s="8">
        <f t="shared" ref="E6:W6" si="3">E7+E8</f>
        <v>4616820</v>
      </c>
      <c r="F6" s="8">
        <f t="shared" si="3"/>
        <v>4165284</v>
      </c>
      <c r="G6" s="8">
        <f t="shared" si="3"/>
        <v>4440000</v>
      </c>
      <c r="H6" s="8">
        <f t="shared" si="3"/>
        <v>4680812.4000000004</v>
      </c>
      <c r="I6" s="8">
        <f t="shared" si="3"/>
        <v>2350000</v>
      </c>
      <c r="J6" s="8">
        <f t="shared" si="3"/>
        <v>5085912</v>
      </c>
      <c r="K6" s="8">
        <f t="shared" si="3"/>
        <v>3597012</v>
      </c>
      <c r="L6" s="8">
        <f t="shared" si="3"/>
        <v>2924964</v>
      </c>
      <c r="M6" s="8">
        <f t="shared" si="3"/>
        <v>4694352</v>
      </c>
      <c r="N6" s="8">
        <f t="shared" si="3"/>
        <v>2994804</v>
      </c>
      <c r="O6" s="8">
        <f t="shared" si="3"/>
        <v>2788176</v>
      </c>
      <c r="P6" s="8">
        <f t="shared" si="3"/>
        <v>2868996</v>
      </c>
      <c r="Q6" s="8">
        <f t="shared" si="3"/>
        <v>3010138</v>
      </c>
      <c r="R6" s="8">
        <f t="shared" si="3"/>
        <v>1032000</v>
      </c>
      <c r="S6" s="8">
        <f t="shared" si="3"/>
        <v>1428444</v>
      </c>
      <c r="T6" s="8">
        <f t="shared" si="3"/>
        <v>1420000</v>
      </c>
      <c r="U6" s="8">
        <f t="shared" si="3"/>
        <v>1748256</v>
      </c>
      <c r="V6" s="8">
        <f t="shared" si="3"/>
        <v>2090444</v>
      </c>
      <c r="W6" s="8">
        <f t="shared" si="3"/>
        <v>345120</v>
      </c>
      <c r="X6" s="30">
        <f t="shared" si="2"/>
        <v>56281534.399999999</v>
      </c>
      <c r="Y6" s="31"/>
    </row>
    <row r="7" spans="1:25" ht="22.5">
      <c r="A7" s="5" t="s">
        <v>25</v>
      </c>
      <c r="B7" s="6" t="s">
        <v>26</v>
      </c>
      <c r="C7" s="6" t="s">
        <v>27</v>
      </c>
      <c r="D7" s="7" t="s">
        <v>28</v>
      </c>
      <c r="E7" s="9">
        <f>208392*12</f>
        <v>2500704</v>
      </c>
      <c r="F7" s="9">
        <f>197668*12</f>
        <v>2372016</v>
      </c>
      <c r="G7" s="9">
        <f>240000*12</f>
        <v>2880000</v>
      </c>
      <c r="H7" s="9">
        <f>223291*12*1.1</f>
        <v>2947441.2</v>
      </c>
      <c r="I7" s="9">
        <v>1600000</v>
      </c>
      <c r="J7" s="9">
        <v>2708724</v>
      </c>
      <c r="K7" s="9">
        <v>2112240</v>
      </c>
      <c r="L7" s="9">
        <v>1999416</v>
      </c>
      <c r="M7" s="9">
        <v>2903524</v>
      </c>
      <c r="N7" s="9">
        <f>160684*12</f>
        <v>1928208</v>
      </c>
      <c r="O7" s="9">
        <v>1661280</v>
      </c>
      <c r="P7" s="9">
        <v>1734828</v>
      </c>
      <c r="Q7" s="9">
        <v>1903970</v>
      </c>
      <c r="R7" s="9">
        <f>56000*12</f>
        <v>672000</v>
      </c>
      <c r="S7" s="9">
        <f>73440*12</f>
        <v>881280</v>
      </c>
      <c r="T7" s="9">
        <v>920000</v>
      </c>
      <c r="U7" s="9">
        <f>90009*12</f>
        <v>1080108</v>
      </c>
      <c r="V7" s="9">
        <v>1309600</v>
      </c>
      <c r="W7" s="9">
        <v>175236</v>
      </c>
      <c r="X7" s="30">
        <f t="shared" si="2"/>
        <v>34290575.200000003</v>
      </c>
      <c r="Y7" s="31"/>
    </row>
    <row r="8" spans="1:25" ht="22.5">
      <c r="A8" s="5" t="s">
        <v>29</v>
      </c>
      <c r="B8" s="6" t="s">
        <v>30</v>
      </c>
      <c r="C8" s="6" t="s">
        <v>27</v>
      </c>
      <c r="D8" s="7" t="s">
        <v>28</v>
      </c>
      <c r="E8" s="9">
        <f>176343*12</f>
        <v>2116116</v>
      </c>
      <c r="F8" s="9">
        <f>149439*12</f>
        <v>1793268</v>
      </c>
      <c r="G8" s="9">
        <f>130000*12</f>
        <v>1560000</v>
      </c>
      <c r="H8" s="9">
        <f>131316*12*1.1</f>
        <v>1733371.2000000002</v>
      </c>
      <c r="I8" s="9">
        <v>750000</v>
      </c>
      <c r="J8" s="9">
        <v>2377188</v>
      </c>
      <c r="K8" s="9">
        <v>1484772</v>
      </c>
      <c r="L8" s="9">
        <v>925548</v>
      </c>
      <c r="M8" s="9">
        <v>1790828</v>
      </c>
      <c r="N8" s="9">
        <f>88883*12</f>
        <v>1066596</v>
      </c>
      <c r="O8" s="9">
        <v>1126896</v>
      </c>
      <c r="P8" s="9">
        <v>1134168</v>
      </c>
      <c r="Q8" s="9">
        <v>1106168</v>
      </c>
      <c r="R8" s="9">
        <f>30000*12</f>
        <v>360000</v>
      </c>
      <c r="S8" s="9">
        <f>45597*12</f>
        <v>547164</v>
      </c>
      <c r="T8" s="9">
        <v>500000</v>
      </c>
      <c r="U8" s="9">
        <f>55679*12</f>
        <v>668148</v>
      </c>
      <c r="V8" s="9">
        <v>780844</v>
      </c>
      <c r="W8" s="9">
        <v>169884</v>
      </c>
      <c r="X8" s="30">
        <f t="shared" si="2"/>
        <v>21990959.199999999</v>
      </c>
      <c r="Y8" s="31"/>
    </row>
    <row r="9" spans="1:25">
      <c r="A9" s="5" t="s">
        <v>31</v>
      </c>
      <c r="B9" s="6" t="s">
        <v>32</v>
      </c>
      <c r="C9" s="6"/>
      <c r="D9" s="7" t="s">
        <v>20</v>
      </c>
      <c r="E9" s="8">
        <f t="shared" ref="E9:W9" si="4">E10+E11</f>
        <v>422784</v>
      </c>
      <c r="F9" s="8">
        <f t="shared" si="4"/>
        <v>416544</v>
      </c>
      <c r="G9" s="8">
        <f t="shared" si="4"/>
        <v>515760</v>
      </c>
      <c r="H9" s="8">
        <f t="shared" si="4"/>
        <v>478948.8</v>
      </c>
      <c r="I9" s="8">
        <f t="shared" si="4"/>
        <v>301824</v>
      </c>
      <c r="J9" s="8">
        <f t="shared" si="4"/>
        <v>486876</v>
      </c>
      <c r="K9" s="8">
        <f t="shared" si="4"/>
        <v>373656</v>
      </c>
      <c r="L9" s="8">
        <f t="shared" si="4"/>
        <v>365256</v>
      </c>
      <c r="M9" s="8">
        <f t="shared" si="4"/>
        <v>475758.2</v>
      </c>
      <c r="N9" s="8">
        <f t="shared" si="4"/>
        <v>356160</v>
      </c>
      <c r="O9" s="8">
        <f t="shared" si="4"/>
        <v>299232</v>
      </c>
      <c r="P9" s="8">
        <f t="shared" si="4"/>
        <v>310008</v>
      </c>
      <c r="Q9" s="8">
        <f t="shared" si="4"/>
        <v>304068</v>
      </c>
      <c r="R9" s="8">
        <f t="shared" si="4"/>
        <v>117160</v>
      </c>
      <c r="S9" s="8">
        <f t="shared" si="4"/>
        <v>165336</v>
      </c>
      <c r="T9" s="8">
        <f t="shared" si="4"/>
        <v>157560</v>
      </c>
      <c r="U9" s="8">
        <f t="shared" si="4"/>
        <v>202596</v>
      </c>
      <c r="V9" s="8">
        <f t="shared" si="4"/>
        <v>219277</v>
      </c>
      <c r="W9" s="8">
        <f t="shared" si="4"/>
        <v>31992</v>
      </c>
      <c r="X9" s="30">
        <f t="shared" si="2"/>
        <v>6000796</v>
      </c>
      <c r="Y9" s="31"/>
    </row>
    <row r="10" spans="1:25" ht="22.5">
      <c r="A10" s="5" t="s">
        <v>33</v>
      </c>
      <c r="B10" s="6" t="s">
        <v>34</v>
      </c>
      <c r="C10" s="6" t="s">
        <v>27</v>
      </c>
      <c r="D10" s="7" t="s">
        <v>28</v>
      </c>
      <c r="E10" s="9">
        <f>472*12</f>
        <v>5664</v>
      </c>
      <c r="F10" s="9">
        <f>392*12</f>
        <v>4704</v>
      </c>
      <c r="G10" s="9">
        <f>300*12</f>
        <v>3600</v>
      </c>
      <c r="H10" s="9">
        <f>284*12*1.1</f>
        <v>3748.8</v>
      </c>
      <c r="I10" s="9">
        <v>864</v>
      </c>
      <c r="J10" s="9">
        <v>6396</v>
      </c>
      <c r="K10" s="9">
        <v>4056</v>
      </c>
      <c r="L10" s="9">
        <v>6216</v>
      </c>
      <c r="M10" s="9">
        <v>16398.2</v>
      </c>
      <c r="N10" s="9">
        <f>200*12</f>
        <v>2400</v>
      </c>
      <c r="O10" s="9">
        <v>3552</v>
      </c>
      <c r="P10" s="9">
        <v>3768</v>
      </c>
      <c r="Q10" s="9">
        <v>3108</v>
      </c>
      <c r="R10" s="9">
        <v>1000</v>
      </c>
      <c r="S10" s="9">
        <f>138*12</f>
        <v>1656</v>
      </c>
      <c r="T10" s="9">
        <v>15000</v>
      </c>
      <c r="U10" s="9">
        <f>163*12</f>
        <v>1956</v>
      </c>
      <c r="V10" s="9">
        <v>2797</v>
      </c>
      <c r="W10" s="9">
        <v>312</v>
      </c>
      <c r="X10" s="30">
        <f t="shared" si="2"/>
        <v>87196</v>
      </c>
      <c r="Y10" s="31"/>
    </row>
    <row r="11" spans="1:25">
      <c r="A11" s="5" t="s">
        <v>35</v>
      </c>
      <c r="B11" s="6" t="s">
        <v>36</v>
      </c>
      <c r="C11" s="6"/>
      <c r="D11" s="7" t="s">
        <v>20</v>
      </c>
      <c r="E11" s="8">
        <f t="shared" ref="E11:W11" si="5">E12</f>
        <v>417120</v>
      </c>
      <c r="F11" s="8">
        <f t="shared" si="5"/>
        <v>411840</v>
      </c>
      <c r="G11" s="8">
        <f t="shared" si="5"/>
        <v>512160</v>
      </c>
      <c r="H11" s="8">
        <f t="shared" si="5"/>
        <v>475200</v>
      </c>
      <c r="I11" s="8">
        <f t="shared" si="5"/>
        <v>300960</v>
      </c>
      <c r="J11" s="8">
        <f t="shared" si="5"/>
        <v>480480</v>
      </c>
      <c r="K11" s="8">
        <f t="shared" si="5"/>
        <v>369600</v>
      </c>
      <c r="L11" s="8">
        <f t="shared" si="5"/>
        <v>359040</v>
      </c>
      <c r="M11" s="8">
        <f t="shared" si="5"/>
        <v>459360</v>
      </c>
      <c r="N11" s="8">
        <f t="shared" si="5"/>
        <v>353760</v>
      </c>
      <c r="O11" s="8">
        <f t="shared" si="5"/>
        <v>295680</v>
      </c>
      <c r="P11" s="8">
        <f t="shared" si="5"/>
        <v>306240</v>
      </c>
      <c r="Q11" s="8">
        <f t="shared" si="5"/>
        <v>300960</v>
      </c>
      <c r="R11" s="8">
        <f t="shared" si="5"/>
        <v>116160</v>
      </c>
      <c r="S11" s="8">
        <f t="shared" si="5"/>
        <v>163680</v>
      </c>
      <c r="T11" s="8">
        <f t="shared" si="5"/>
        <v>142560</v>
      </c>
      <c r="U11" s="8">
        <f t="shared" si="5"/>
        <v>200640</v>
      </c>
      <c r="V11" s="8">
        <f t="shared" si="5"/>
        <v>216480</v>
      </c>
      <c r="W11" s="8">
        <f t="shared" si="5"/>
        <v>31680</v>
      </c>
      <c r="X11" s="30">
        <f t="shared" si="2"/>
        <v>5913600</v>
      </c>
      <c r="Y11" s="31"/>
    </row>
    <row r="12" spans="1:25">
      <c r="A12" s="5" t="s">
        <v>37</v>
      </c>
      <c r="B12" s="6" t="s">
        <v>356</v>
      </c>
      <c r="C12" s="6" t="s">
        <v>27</v>
      </c>
      <c r="D12" s="7" t="s">
        <v>20</v>
      </c>
      <c r="E12" s="8">
        <f t="shared" ref="E12:W12" si="6">440*12*E62</f>
        <v>417120</v>
      </c>
      <c r="F12" s="8">
        <f t="shared" si="6"/>
        <v>411840</v>
      </c>
      <c r="G12" s="8">
        <f t="shared" si="6"/>
        <v>512160</v>
      </c>
      <c r="H12" s="8">
        <f t="shared" si="6"/>
        <v>475200</v>
      </c>
      <c r="I12" s="8">
        <f t="shared" si="6"/>
        <v>300960</v>
      </c>
      <c r="J12" s="8">
        <f t="shared" si="6"/>
        <v>480480</v>
      </c>
      <c r="K12" s="8">
        <f t="shared" si="6"/>
        <v>369600</v>
      </c>
      <c r="L12" s="8">
        <f t="shared" si="6"/>
        <v>359040</v>
      </c>
      <c r="M12" s="8">
        <f t="shared" si="6"/>
        <v>459360</v>
      </c>
      <c r="N12" s="8">
        <f t="shared" si="6"/>
        <v>353760</v>
      </c>
      <c r="O12" s="8">
        <f t="shared" si="6"/>
        <v>295680</v>
      </c>
      <c r="P12" s="8">
        <f t="shared" si="6"/>
        <v>306240</v>
      </c>
      <c r="Q12" s="8">
        <f t="shared" si="6"/>
        <v>300960</v>
      </c>
      <c r="R12" s="8">
        <f t="shared" si="6"/>
        <v>116160</v>
      </c>
      <c r="S12" s="8">
        <f t="shared" si="6"/>
        <v>163680</v>
      </c>
      <c r="T12" s="8">
        <f t="shared" si="6"/>
        <v>142560</v>
      </c>
      <c r="U12" s="8">
        <f t="shared" si="6"/>
        <v>200640</v>
      </c>
      <c r="V12" s="8">
        <f t="shared" si="6"/>
        <v>216480</v>
      </c>
      <c r="W12" s="8">
        <f t="shared" si="6"/>
        <v>31680</v>
      </c>
      <c r="X12" s="30">
        <f t="shared" si="2"/>
        <v>5913600</v>
      </c>
      <c r="Y12" s="31"/>
    </row>
    <row r="13" spans="1:25" ht="33.75">
      <c r="A13" s="5" t="s">
        <v>38</v>
      </c>
      <c r="B13" s="6" t="s">
        <v>39</v>
      </c>
      <c r="C13" s="6"/>
      <c r="D13" s="7" t="s">
        <v>40</v>
      </c>
      <c r="E13" s="8">
        <f t="shared" ref="E13:W13" si="7">E14+E15</f>
        <v>206484</v>
      </c>
      <c r="F13" s="8">
        <f t="shared" si="7"/>
        <v>192780</v>
      </c>
      <c r="G13" s="8">
        <f t="shared" si="7"/>
        <v>245115.42</v>
      </c>
      <c r="H13" s="8">
        <f t="shared" si="7"/>
        <v>235116</v>
      </c>
      <c r="I13" s="8">
        <f t="shared" si="7"/>
        <v>135714.28</v>
      </c>
      <c r="J13" s="8">
        <f t="shared" si="7"/>
        <v>228234.86</v>
      </c>
      <c r="K13" s="8">
        <f t="shared" si="7"/>
        <v>174440.58</v>
      </c>
      <c r="L13" s="8">
        <f t="shared" si="7"/>
        <v>149391.42000000001</v>
      </c>
      <c r="M13" s="8">
        <f t="shared" si="7"/>
        <v>236410.58</v>
      </c>
      <c r="N13" s="8">
        <f t="shared" si="7"/>
        <v>163541.14000000001</v>
      </c>
      <c r="O13" s="8">
        <f t="shared" si="7"/>
        <v>122165.14</v>
      </c>
      <c r="P13" s="8">
        <f t="shared" si="7"/>
        <v>132985</v>
      </c>
      <c r="Q13" s="8">
        <f t="shared" si="7"/>
        <v>134224</v>
      </c>
      <c r="R13" s="8">
        <f t="shared" si="7"/>
        <v>48857.14</v>
      </c>
      <c r="S13" s="8">
        <f t="shared" si="7"/>
        <v>66384</v>
      </c>
      <c r="T13" s="8">
        <f t="shared" si="7"/>
        <v>62210</v>
      </c>
      <c r="U13" s="8">
        <f t="shared" si="7"/>
        <v>84867.42</v>
      </c>
      <c r="V13" s="8">
        <f t="shared" si="7"/>
        <v>91376.58</v>
      </c>
      <c r="W13" s="8">
        <f t="shared" si="7"/>
        <v>14398.28</v>
      </c>
      <c r="X13" s="30">
        <f t="shared" si="2"/>
        <v>2724695.84</v>
      </c>
      <c r="Y13" s="31"/>
    </row>
    <row r="14" spans="1:25" ht="22.5">
      <c r="A14" s="5" t="s">
        <v>41</v>
      </c>
      <c r="B14" s="6" t="s">
        <v>357</v>
      </c>
      <c r="C14" s="6" t="s">
        <v>27</v>
      </c>
      <c r="D14" s="7" t="s">
        <v>42</v>
      </c>
      <c r="E14" s="8">
        <f t="shared" ref="E14:W14" si="8">ROUND(E30/0.07*0.005,2)</f>
        <v>103242</v>
      </c>
      <c r="F14" s="8">
        <f t="shared" si="8"/>
        <v>96390</v>
      </c>
      <c r="G14" s="8">
        <f t="shared" si="8"/>
        <v>122557.71</v>
      </c>
      <c r="H14" s="8">
        <f t="shared" si="8"/>
        <v>117558</v>
      </c>
      <c r="I14" s="8">
        <f t="shared" si="8"/>
        <v>67857.14</v>
      </c>
      <c r="J14" s="8">
        <f t="shared" si="8"/>
        <v>114117.43</v>
      </c>
      <c r="K14" s="8">
        <f t="shared" si="8"/>
        <v>87220.29</v>
      </c>
      <c r="L14" s="8">
        <f t="shared" si="8"/>
        <v>74695.710000000006</v>
      </c>
      <c r="M14" s="8">
        <f t="shared" si="8"/>
        <v>118205.29</v>
      </c>
      <c r="N14" s="8">
        <f t="shared" si="8"/>
        <v>81770.570000000007</v>
      </c>
      <c r="O14" s="8">
        <f t="shared" si="8"/>
        <v>61082.57</v>
      </c>
      <c r="P14" s="8">
        <f t="shared" si="8"/>
        <v>66492.5</v>
      </c>
      <c r="Q14" s="8">
        <f t="shared" si="8"/>
        <v>67112</v>
      </c>
      <c r="R14" s="8">
        <f t="shared" si="8"/>
        <v>24428.57</v>
      </c>
      <c r="S14" s="8">
        <f t="shared" si="8"/>
        <v>33192</v>
      </c>
      <c r="T14" s="8">
        <f t="shared" si="8"/>
        <v>31105</v>
      </c>
      <c r="U14" s="8">
        <f t="shared" si="8"/>
        <v>42433.71</v>
      </c>
      <c r="V14" s="8">
        <f t="shared" si="8"/>
        <v>45688.29</v>
      </c>
      <c r="W14" s="8">
        <f t="shared" si="8"/>
        <v>7199.14</v>
      </c>
      <c r="X14" s="30">
        <f t="shared" si="2"/>
        <v>1362347.92</v>
      </c>
      <c r="Y14" s="31"/>
    </row>
    <row r="15" spans="1:25" ht="22.5">
      <c r="A15" s="5" t="s">
        <v>43</v>
      </c>
      <c r="B15" s="6" t="s">
        <v>358</v>
      </c>
      <c r="C15" s="6" t="s">
        <v>27</v>
      </c>
      <c r="D15" s="7" t="s">
        <v>42</v>
      </c>
      <c r="E15" s="8">
        <f>ROUND(E30/0.07*0.005,2)</f>
        <v>103242</v>
      </c>
      <c r="F15" s="8">
        <f t="shared" ref="F15:W15" si="9">ROUND(F30/0.07*0.005,2)</f>
        <v>96390</v>
      </c>
      <c r="G15" s="8">
        <f t="shared" si="9"/>
        <v>122557.71</v>
      </c>
      <c r="H15" s="8">
        <f t="shared" si="9"/>
        <v>117558</v>
      </c>
      <c r="I15" s="8">
        <f t="shared" si="9"/>
        <v>67857.14</v>
      </c>
      <c r="J15" s="8">
        <f t="shared" si="9"/>
        <v>114117.43</v>
      </c>
      <c r="K15" s="8">
        <f t="shared" si="9"/>
        <v>87220.29</v>
      </c>
      <c r="L15" s="8">
        <f t="shared" si="9"/>
        <v>74695.710000000006</v>
      </c>
      <c r="M15" s="8">
        <f t="shared" si="9"/>
        <v>118205.29</v>
      </c>
      <c r="N15" s="8">
        <f t="shared" si="9"/>
        <v>81770.570000000007</v>
      </c>
      <c r="O15" s="8">
        <f t="shared" si="9"/>
        <v>61082.57</v>
      </c>
      <c r="P15" s="8">
        <f t="shared" si="9"/>
        <v>66492.5</v>
      </c>
      <c r="Q15" s="8">
        <f t="shared" si="9"/>
        <v>67112</v>
      </c>
      <c r="R15" s="8">
        <f t="shared" si="9"/>
        <v>24428.57</v>
      </c>
      <c r="S15" s="8">
        <f t="shared" si="9"/>
        <v>33192</v>
      </c>
      <c r="T15" s="8">
        <f t="shared" si="9"/>
        <v>31105</v>
      </c>
      <c r="U15" s="8">
        <f t="shared" si="9"/>
        <v>42433.71</v>
      </c>
      <c r="V15" s="8">
        <f t="shared" si="9"/>
        <v>45688.29</v>
      </c>
      <c r="W15" s="8">
        <f t="shared" si="9"/>
        <v>7199.14</v>
      </c>
      <c r="X15" s="30">
        <f t="shared" si="2"/>
        <v>1362347.92</v>
      </c>
      <c r="Y15" s="31"/>
    </row>
    <row r="16" spans="1:25">
      <c r="A16" s="5" t="s">
        <v>44</v>
      </c>
      <c r="B16" s="6" t="s">
        <v>45</v>
      </c>
      <c r="C16" s="6"/>
      <c r="D16" s="7" t="s">
        <v>20</v>
      </c>
      <c r="E16" s="8">
        <f t="shared" ref="E16:W16" si="10">E17+E18+E19+E20</f>
        <v>15968912</v>
      </c>
      <c r="F16" s="8">
        <f t="shared" si="10"/>
        <v>15243984</v>
      </c>
      <c r="G16" s="8">
        <f t="shared" si="10"/>
        <v>19310780</v>
      </c>
      <c r="H16" s="8">
        <f t="shared" si="10"/>
        <v>18183589</v>
      </c>
      <c r="I16" s="8">
        <f t="shared" si="10"/>
        <v>11286000</v>
      </c>
      <c r="J16" s="8">
        <f t="shared" si="10"/>
        <v>17396000</v>
      </c>
      <c r="K16" s="8">
        <f t="shared" si="10"/>
        <v>13544264</v>
      </c>
      <c r="L16" s="8">
        <f t="shared" si="10"/>
        <v>13308672</v>
      </c>
      <c r="M16" s="8">
        <f t="shared" si="10"/>
        <v>16872436.399999999</v>
      </c>
      <c r="N16" s="8">
        <f t="shared" si="10"/>
        <v>12864000</v>
      </c>
      <c r="O16" s="8">
        <f t="shared" si="10"/>
        <v>9456902</v>
      </c>
      <c r="P16" s="8">
        <f t="shared" si="10"/>
        <v>9791332</v>
      </c>
      <c r="Q16" s="8">
        <f t="shared" si="10"/>
        <v>9644076</v>
      </c>
      <c r="R16" s="8">
        <f t="shared" si="10"/>
        <v>3759143</v>
      </c>
      <c r="S16" s="8">
        <f t="shared" si="10"/>
        <v>5268304</v>
      </c>
      <c r="T16" s="8">
        <f t="shared" si="10"/>
        <v>4437000</v>
      </c>
      <c r="U16" s="8">
        <f t="shared" si="10"/>
        <v>6430704</v>
      </c>
      <c r="V16" s="8">
        <f t="shared" si="10"/>
        <v>6979892</v>
      </c>
      <c r="W16" s="8">
        <f t="shared" si="10"/>
        <v>1134000</v>
      </c>
      <c r="X16" s="30">
        <f t="shared" si="2"/>
        <v>210879990.40000001</v>
      </c>
      <c r="Y16" s="31"/>
    </row>
    <row r="17" spans="1:25" ht="22.5">
      <c r="A17" s="5" t="s">
        <v>46</v>
      </c>
      <c r="B17" s="6" t="s">
        <v>47</v>
      </c>
      <c r="C17" s="6" t="s">
        <v>27</v>
      </c>
      <c r="D17" s="7" t="s">
        <v>359</v>
      </c>
      <c r="E17" s="9">
        <v>14430000</v>
      </c>
      <c r="F17" s="9">
        <v>13690000</v>
      </c>
      <c r="G17" s="9">
        <v>17472000</v>
      </c>
      <c r="H17" s="9">
        <v>16465000</v>
      </c>
      <c r="I17" s="9">
        <v>10374000</v>
      </c>
      <c r="J17" s="9">
        <v>15435200</v>
      </c>
      <c r="K17" s="9">
        <v>12144000</v>
      </c>
      <c r="L17" s="9">
        <v>11792000</v>
      </c>
      <c r="M17" s="9">
        <v>15136000</v>
      </c>
      <c r="N17" s="9">
        <v>11792000</v>
      </c>
      <c r="O17" s="9">
        <v>8855000</v>
      </c>
      <c r="P17" s="9">
        <v>9177000</v>
      </c>
      <c r="Q17" s="9">
        <v>9016000</v>
      </c>
      <c r="R17" s="9">
        <v>3381000</v>
      </c>
      <c r="S17" s="9">
        <v>4830000</v>
      </c>
      <c r="T17" s="9">
        <v>4025000</v>
      </c>
      <c r="U17" s="9">
        <v>5957000</v>
      </c>
      <c r="V17" s="9">
        <v>6440000</v>
      </c>
      <c r="W17" s="9">
        <v>1098000</v>
      </c>
      <c r="X17" s="30">
        <f t="shared" si="2"/>
        <v>191509200</v>
      </c>
      <c r="Y17" s="31"/>
    </row>
    <row r="18" spans="1:25" ht="33.75">
      <c r="A18" s="5" t="s">
        <v>48</v>
      </c>
      <c r="B18" s="6" t="s">
        <v>49</v>
      </c>
      <c r="C18" s="6" t="s">
        <v>27</v>
      </c>
      <c r="D18" s="7" t="s">
        <v>50</v>
      </c>
      <c r="E18" s="9">
        <v>274912</v>
      </c>
      <c r="F18" s="9">
        <v>305984</v>
      </c>
      <c r="G18" s="9">
        <v>286780</v>
      </c>
      <c r="H18" s="9">
        <v>278589</v>
      </c>
      <c r="I18" s="9"/>
      <c r="J18" s="9">
        <v>504800</v>
      </c>
      <c r="K18" s="9">
        <v>280264</v>
      </c>
      <c r="L18" s="9">
        <v>428672</v>
      </c>
      <c r="M18" s="9">
        <v>344436.4</v>
      </c>
      <c r="N18" s="9"/>
      <c r="O18" s="9">
        <v>265902</v>
      </c>
      <c r="P18" s="9">
        <v>266332</v>
      </c>
      <c r="Q18" s="9">
        <v>286076</v>
      </c>
      <c r="R18" s="9">
        <v>246143</v>
      </c>
      <c r="S18" s="9">
        <v>252304</v>
      </c>
      <c r="T18" s="9">
        <v>250000</v>
      </c>
      <c r="U18" s="9">
        <v>245704</v>
      </c>
      <c r="V18" s="9">
        <v>293892</v>
      </c>
      <c r="W18" s="9"/>
      <c r="X18" s="30">
        <f t="shared" si="2"/>
        <v>4810790.4000000004</v>
      </c>
      <c r="Y18" s="31"/>
    </row>
    <row r="19" spans="1:25">
      <c r="A19" s="5" t="s">
        <v>51</v>
      </c>
      <c r="B19" s="6" t="s">
        <v>360</v>
      </c>
      <c r="C19" s="6" t="s">
        <v>27</v>
      </c>
      <c r="D19" s="7" t="s">
        <v>20</v>
      </c>
      <c r="E19" s="8">
        <f t="shared" ref="E19:W19" si="11">E62*500*12</f>
        <v>474000</v>
      </c>
      <c r="F19" s="8">
        <f t="shared" si="11"/>
        <v>468000</v>
      </c>
      <c r="G19" s="8">
        <f t="shared" si="11"/>
        <v>582000</v>
      </c>
      <c r="H19" s="8">
        <f t="shared" si="11"/>
        <v>540000</v>
      </c>
      <c r="I19" s="8">
        <f t="shared" si="11"/>
        <v>342000</v>
      </c>
      <c r="J19" s="8">
        <f t="shared" si="11"/>
        <v>546000</v>
      </c>
      <c r="K19" s="8">
        <f t="shared" si="11"/>
        <v>420000</v>
      </c>
      <c r="L19" s="8">
        <f t="shared" si="11"/>
        <v>408000</v>
      </c>
      <c r="M19" s="8">
        <f t="shared" si="11"/>
        <v>522000</v>
      </c>
      <c r="N19" s="8">
        <f t="shared" si="11"/>
        <v>402000</v>
      </c>
      <c r="O19" s="8">
        <f t="shared" si="11"/>
        <v>336000</v>
      </c>
      <c r="P19" s="8">
        <f t="shared" si="11"/>
        <v>348000</v>
      </c>
      <c r="Q19" s="8">
        <f t="shared" si="11"/>
        <v>342000</v>
      </c>
      <c r="R19" s="8">
        <f t="shared" si="11"/>
        <v>132000</v>
      </c>
      <c r="S19" s="8">
        <f t="shared" si="11"/>
        <v>186000</v>
      </c>
      <c r="T19" s="8">
        <f t="shared" si="11"/>
        <v>162000</v>
      </c>
      <c r="U19" s="8">
        <f t="shared" si="11"/>
        <v>228000</v>
      </c>
      <c r="V19" s="8">
        <f t="shared" si="11"/>
        <v>246000</v>
      </c>
      <c r="W19" s="8">
        <f t="shared" si="11"/>
        <v>36000</v>
      </c>
      <c r="X19" s="30">
        <f t="shared" si="2"/>
        <v>6720000</v>
      </c>
      <c r="Y19" s="31"/>
    </row>
    <row r="20" spans="1:25" ht="22.5">
      <c r="A20" s="5" t="s">
        <v>52</v>
      </c>
      <c r="B20" s="6" t="s">
        <v>361</v>
      </c>
      <c r="C20" s="6" t="s">
        <v>27</v>
      </c>
      <c r="D20" s="7" t="s">
        <v>28</v>
      </c>
      <c r="E20" s="9">
        <f>79*10000</f>
        <v>790000</v>
      </c>
      <c r="F20" s="9">
        <v>780000</v>
      </c>
      <c r="G20" s="9">
        <v>970000</v>
      </c>
      <c r="H20" s="9">
        <v>900000</v>
      </c>
      <c r="I20" s="9">
        <v>570000</v>
      </c>
      <c r="J20" s="9">
        <v>910000</v>
      </c>
      <c r="K20" s="9">
        <f>K64*10000</f>
        <v>700000</v>
      </c>
      <c r="L20" s="9">
        <v>680000</v>
      </c>
      <c r="M20" s="9">
        <v>870000</v>
      </c>
      <c r="N20" s="9">
        <f>67*10000</f>
        <v>670000</v>
      </c>
      <c r="O20" s="9"/>
      <c r="P20" s="9"/>
      <c r="Q20" s="9"/>
      <c r="R20" s="9"/>
      <c r="S20" s="9"/>
      <c r="T20" s="9"/>
      <c r="U20" s="9"/>
      <c r="V20" s="9"/>
      <c r="W20" s="9"/>
      <c r="X20" s="30">
        <f t="shared" si="2"/>
        <v>7840000</v>
      </c>
      <c r="Y20" s="31"/>
    </row>
    <row r="21" spans="1:25">
      <c r="A21" s="5" t="s">
        <v>53</v>
      </c>
      <c r="B21" s="6" t="s">
        <v>54</v>
      </c>
      <c r="C21" s="6"/>
      <c r="D21" s="7" t="s">
        <v>20</v>
      </c>
      <c r="E21" s="8">
        <f t="shared" ref="E21:W21" si="12">E22+E23</f>
        <v>2684292</v>
      </c>
      <c r="F21" s="8">
        <f t="shared" si="12"/>
        <v>2506140</v>
      </c>
      <c r="G21" s="8">
        <f t="shared" si="12"/>
        <v>3186500.58</v>
      </c>
      <c r="H21" s="8">
        <f t="shared" si="12"/>
        <v>3056508</v>
      </c>
      <c r="I21" s="8">
        <f t="shared" si="12"/>
        <v>1764285.71</v>
      </c>
      <c r="J21" s="8">
        <f t="shared" si="12"/>
        <v>2967053.13</v>
      </c>
      <c r="K21" s="8">
        <f t="shared" si="12"/>
        <v>2267727.42</v>
      </c>
      <c r="L21" s="8">
        <f t="shared" si="12"/>
        <v>1942088.58</v>
      </c>
      <c r="M21" s="8">
        <f t="shared" si="12"/>
        <v>3073337.42</v>
      </c>
      <c r="N21" s="8">
        <f t="shared" si="12"/>
        <v>2126034.87</v>
      </c>
      <c r="O21" s="8">
        <f t="shared" si="12"/>
        <v>1588146.87</v>
      </c>
      <c r="P21" s="8">
        <f t="shared" si="12"/>
        <v>1728805</v>
      </c>
      <c r="Q21" s="8">
        <f t="shared" si="12"/>
        <v>1744912</v>
      </c>
      <c r="R21" s="8">
        <f t="shared" si="12"/>
        <v>635142.87</v>
      </c>
      <c r="S21" s="8">
        <f t="shared" si="12"/>
        <v>862992</v>
      </c>
      <c r="T21" s="8">
        <f t="shared" si="12"/>
        <v>808730</v>
      </c>
      <c r="U21" s="8">
        <f t="shared" si="12"/>
        <v>1103276.58</v>
      </c>
      <c r="V21" s="8">
        <f t="shared" si="12"/>
        <v>1187895.42</v>
      </c>
      <c r="W21" s="8">
        <f t="shared" si="12"/>
        <v>187177.71000000002</v>
      </c>
      <c r="X21" s="30">
        <f t="shared" si="2"/>
        <v>35421046.160000004</v>
      </c>
      <c r="Y21" s="31"/>
    </row>
    <row r="22" spans="1:25">
      <c r="A22" s="5" t="s">
        <v>55</v>
      </c>
      <c r="B22" s="6" t="s">
        <v>362</v>
      </c>
      <c r="C22" s="6" t="s">
        <v>56</v>
      </c>
      <c r="D22" s="7" t="s">
        <v>20</v>
      </c>
      <c r="E22" s="8">
        <f t="shared" ref="E22:W22" si="13">ROUND(E30/0.07*0.09,2)</f>
        <v>1858356</v>
      </c>
      <c r="F22" s="8">
        <f t="shared" si="13"/>
        <v>1735020</v>
      </c>
      <c r="G22" s="8">
        <f t="shared" si="13"/>
        <v>2206038.86</v>
      </c>
      <c r="H22" s="8">
        <f t="shared" si="13"/>
        <v>2116044</v>
      </c>
      <c r="I22" s="8">
        <f t="shared" si="13"/>
        <v>1221428.57</v>
      </c>
      <c r="J22" s="8">
        <f t="shared" si="13"/>
        <v>2054113.71</v>
      </c>
      <c r="K22" s="8">
        <f t="shared" si="13"/>
        <v>1569965.14</v>
      </c>
      <c r="L22" s="8">
        <f t="shared" si="13"/>
        <v>1344522.86</v>
      </c>
      <c r="M22" s="8">
        <f t="shared" si="13"/>
        <v>2127695.14</v>
      </c>
      <c r="N22" s="8">
        <f t="shared" si="13"/>
        <v>1471870.29</v>
      </c>
      <c r="O22" s="8">
        <f t="shared" si="13"/>
        <v>1099486.29</v>
      </c>
      <c r="P22" s="8">
        <f t="shared" si="13"/>
        <v>1196865</v>
      </c>
      <c r="Q22" s="8">
        <f t="shared" si="13"/>
        <v>1208016</v>
      </c>
      <c r="R22" s="8">
        <f t="shared" si="13"/>
        <v>439714.29</v>
      </c>
      <c r="S22" s="8">
        <f t="shared" si="13"/>
        <v>597456</v>
      </c>
      <c r="T22" s="8">
        <f t="shared" si="13"/>
        <v>559890</v>
      </c>
      <c r="U22" s="8">
        <f t="shared" si="13"/>
        <v>763806.86</v>
      </c>
      <c r="V22" s="8">
        <f t="shared" si="13"/>
        <v>822389.14</v>
      </c>
      <c r="W22" s="8">
        <f t="shared" si="13"/>
        <v>129584.57</v>
      </c>
      <c r="X22" s="30">
        <f t="shared" si="2"/>
        <v>24522262.719999999</v>
      </c>
      <c r="Y22" s="31"/>
    </row>
    <row r="23" spans="1:25" ht="22.5">
      <c r="A23" s="5" t="s">
        <v>57</v>
      </c>
      <c r="B23" s="6" t="s">
        <v>363</v>
      </c>
      <c r="C23" s="6" t="s">
        <v>56</v>
      </c>
      <c r="D23" s="7" t="s">
        <v>42</v>
      </c>
      <c r="E23" s="8">
        <f t="shared" ref="E23:W23" si="14">E24+E25</f>
        <v>825936</v>
      </c>
      <c r="F23" s="8">
        <f t="shared" si="14"/>
        <v>771120</v>
      </c>
      <c r="G23" s="8">
        <f t="shared" si="14"/>
        <v>980461.72</v>
      </c>
      <c r="H23" s="8">
        <f t="shared" si="14"/>
        <v>940464</v>
      </c>
      <c r="I23" s="8">
        <f t="shared" si="14"/>
        <v>542857.14</v>
      </c>
      <c r="J23" s="8">
        <f t="shared" si="14"/>
        <v>912939.42</v>
      </c>
      <c r="K23" s="8">
        <f t="shared" si="14"/>
        <v>697762.28</v>
      </c>
      <c r="L23" s="8">
        <f t="shared" si="14"/>
        <v>597565.72</v>
      </c>
      <c r="M23" s="8">
        <f t="shared" si="14"/>
        <v>945642.28</v>
      </c>
      <c r="N23" s="8">
        <f t="shared" si="14"/>
        <v>654164.57999999996</v>
      </c>
      <c r="O23" s="8">
        <f t="shared" si="14"/>
        <v>488660.58</v>
      </c>
      <c r="P23" s="8">
        <f t="shared" si="14"/>
        <v>531940</v>
      </c>
      <c r="Q23" s="8">
        <f t="shared" si="14"/>
        <v>536896</v>
      </c>
      <c r="R23" s="8">
        <f t="shared" si="14"/>
        <v>195428.58</v>
      </c>
      <c r="S23" s="8">
        <f t="shared" si="14"/>
        <v>265536</v>
      </c>
      <c r="T23" s="8">
        <f t="shared" si="14"/>
        <v>248840</v>
      </c>
      <c r="U23" s="8">
        <f t="shared" si="14"/>
        <v>339469.72</v>
      </c>
      <c r="V23" s="8">
        <f t="shared" si="14"/>
        <v>365506.28</v>
      </c>
      <c r="W23" s="8">
        <f t="shared" si="14"/>
        <v>57593.14</v>
      </c>
      <c r="X23" s="30">
        <f t="shared" si="2"/>
        <v>10898783.440000001</v>
      </c>
      <c r="Y23" s="31"/>
    </row>
    <row r="24" spans="1:25" ht="22.5">
      <c r="A24" s="5" t="s">
        <v>58</v>
      </c>
      <c r="B24" s="6" t="s">
        <v>364</v>
      </c>
      <c r="C24" s="6" t="s">
        <v>56</v>
      </c>
      <c r="D24" s="7" t="s">
        <v>42</v>
      </c>
      <c r="E24" s="8">
        <f t="shared" ref="E24:W24" si="15">ROUND(E30/0.07*0.02,2)</f>
        <v>412968</v>
      </c>
      <c r="F24" s="8">
        <f t="shared" si="15"/>
        <v>385560</v>
      </c>
      <c r="G24" s="8">
        <f t="shared" si="15"/>
        <v>490230.86</v>
      </c>
      <c r="H24" s="8">
        <f t="shared" si="15"/>
        <v>470232</v>
      </c>
      <c r="I24" s="8">
        <f t="shared" si="15"/>
        <v>271428.57</v>
      </c>
      <c r="J24" s="8">
        <f t="shared" si="15"/>
        <v>456469.71</v>
      </c>
      <c r="K24" s="8">
        <f t="shared" si="15"/>
        <v>348881.14</v>
      </c>
      <c r="L24" s="8">
        <f t="shared" si="15"/>
        <v>298782.86</v>
      </c>
      <c r="M24" s="8">
        <f t="shared" si="15"/>
        <v>472821.14</v>
      </c>
      <c r="N24" s="8">
        <f t="shared" si="15"/>
        <v>327082.28999999998</v>
      </c>
      <c r="O24" s="8">
        <f t="shared" si="15"/>
        <v>244330.29</v>
      </c>
      <c r="P24" s="8">
        <f t="shared" si="15"/>
        <v>265970</v>
      </c>
      <c r="Q24" s="8">
        <f t="shared" si="15"/>
        <v>268448</v>
      </c>
      <c r="R24" s="8">
        <f t="shared" si="15"/>
        <v>97714.29</v>
      </c>
      <c r="S24" s="8">
        <f t="shared" si="15"/>
        <v>132768</v>
      </c>
      <c r="T24" s="8">
        <f t="shared" si="15"/>
        <v>124420</v>
      </c>
      <c r="U24" s="8">
        <f t="shared" si="15"/>
        <v>169734.86</v>
      </c>
      <c r="V24" s="8">
        <f t="shared" si="15"/>
        <v>182753.14</v>
      </c>
      <c r="W24" s="8">
        <f t="shared" si="15"/>
        <v>28796.57</v>
      </c>
      <c r="X24" s="30">
        <f t="shared" si="2"/>
        <v>5449391.7200000007</v>
      </c>
      <c r="Y24" s="31"/>
    </row>
    <row r="25" spans="1:25" ht="22.5">
      <c r="A25" s="5" t="s">
        <v>59</v>
      </c>
      <c r="B25" s="6" t="s">
        <v>365</v>
      </c>
      <c r="C25" s="6" t="s">
        <v>56</v>
      </c>
      <c r="D25" s="7" t="s">
        <v>42</v>
      </c>
      <c r="E25" s="8">
        <f t="shared" ref="E25:W25" si="16">ROUND(E30/0.07*0.02,2)</f>
        <v>412968</v>
      </c>
      <c r="F25" s="8">
        <f t="shared" si="16"/>
        <v>385560</v>
      </c>
      <c r="G25" s="8">
        <f t="shared" si="16"/>
        <v>490230.86</v>
      </c>
      <c r="H25" s="8">
        <f t="shared" si="16"/>
        <v>470232</v>
      </c>
      <c r="I25" s="8">
        <f t="shared" si="16"/>
        <v>271428.57</v>
      </c>
      <c r="J25" s="8">
        <f t="shared" si="16"/>
        <v>456469.71</v>
      </c>
      <c r="K25" s="8">
        <f t="shared" si="16"/>
        <v>348881.14</v>
      </c>
      <c r="L25" s="8">
        <f t="shared" si="16"/>
        <v>298782.86</v>
      </c>
      <c r="M25" s="8">
        <f t="shared" si="16"/>
        <v>472821.14</v>
      </c>
      <c r="N25" s="8">
        <f t="shared" si="16"/>
        <v>327082.28999999998</v>
      </c>
      <c r="O25" s="8">
        <f t="shared" si="16"/>
        <v>244330.29</v>
      </c>
      <c r="P25" s="8">
        <f t="shared" si="16"/>
        <v>265970</v>
      </c>
      <c r="Q25" s="8">
        <f t="shared" si="16"/>
        <v>268448</v>
      </c>
      <c r="R25" s="8">
        <f t="shared" si="16"/>
        <v>97714.29</v>
      </c>
      <c r="S25" s="8">
        <f t="shared" si="16"/>
        <v>132768</v>
      </c>
      <c r="T25" s="8">
        <f t="shared" si="16"/>
        <v>124420</v>
      </c>
      <c r="U25" s="8">
        <f t="shared" si="16"/>
        <v>169734.86</v>
      </c>
      <c r="V25" s="8">
        <f t="shared" si="16"/>
        <v>182753.14</v>
      </c>
      <c r="W25" s="8">
        <f t="shared" si="16"/>
        <v>28796.57</v>
      </c>
      <c r="X25" s="30">
        <f t="shared" si="2"/>
        <v>5449391.7200000007</v>
      </c>
      <c r="Y25" s="31"/>
    </row>
    <row r="26" spans="1:25">
      <c r="A26" s="5" t="s">
        <v>60</v>
      </c>
      <c r="B26" s="6" t="s">
        <v>61</v>
      </c>
      <c r="C26" s="6"/>
      <c r="D26" s="7" t="s">
        <v>20</v>
      </c>
      <c r="E26" s="8">
        <f t="shared" ref="E26:W26" si="17">E27</f>
        <v>3303744</v>
      </c>
      <c r="F26" s="8">
        <f t="shared" si="17"/>
        <v>3084480</v>
      </c>
      <c r="G26" s="8">
        <f t="shared" si="17"/>
        <v>3921846.86</v>
      </c>
      <c r="H26" s="8">
        <f t="shared" si="17"/>
        <v>3761856</v>
      </c>
      <c r="I26" s="8">
        <f t="shared" si="17"/>
        <v>2171428.5699999998</v>
      </c>
      <c r="J26" s="8">
        <f t="shared" si="17"/>
        <v>3651757.71</v>
      </c>
      <c r="K26" s="8">
        <f t="shared" si="17"/>
        <v>2791049.14</v>
      </c>
      <c r="L26" s="8">
        <f t="shared" si="17"/>
        <v>2390262.86</v>
      </c>
      <c r="M26" s="8">
        <f t="shared" si="17"/>
        <v>3782569.14</v>
      </c>
      <c r="N26" s="8">
        <f t="shared" si="17"/>
        <v>2616658.29</v>
      </c>
      <c r="O26" s="8">
        <f t="shared" si="17"/>
        <v>1954642.29</v>
      </c>
      <c r="P26" s="8">
        <f t="shared" si="17"/>
        <v>2127760</v>
      </c>
      <c r="Q26" s="8">
        <f t="shared" si="17"/>
        <v>2147584</v>
      </c>
      <c r="R26" s="8">
        <f t="shared" si="17"/>
        <v>781714.29</v>
      </c>
      <c r="S26" s="8">
        <f t="shared" si="17"/>
        <v>1062144</v>
      </c>
      <c r="T26" s="8">
        <f t="shared" si="17"/>
        <v>995360</v>
      </c>
      <c r="U26" s="8">
        <f t="shared" si="17"/>
        <v>1357878.86</v>
      </c>
      <c r="V26" s="8">
        <f t="shared" si="17"/>
        <v>1462025.14</v>
      </c>
      <c r="W26" s="8">
        <f t="shared" si="17"/>
        <v>230372.57</v>
      </c>
      <c r="X26" s="30">
        <f t="shared" si="2"/>
        <v>43595133.719999999</v>
      </c>
      <c r="Y26" s="31"/>
    </row>
    <row r="27" spans="1:25" ht="22.5">
      <c r="A27" s="5" t="s">
        <v>62</v>
      </c>
      <c r="B27" s="6" t="s">
        <v>366</v>
      </c>
      <c r="C27" s="6" t="s">
        <v>63</v>
      </c>
      <c r="D27" s="7" t="s">
        <v>42</v>
      </c>
      <c r="E27" s="8">
        <f t="shared" ref="E27:W27" si="18">ROUND(E30/0.07*0.16,2)</f>
        <v>3303744</v>
      </c>
      <c r="F27" s="8">
        <f t="shared" si="18"/>
        <v>3084480</v>
      </c>
      <c r="G27" s="8">
        <f t="shared" si="18"/>
        <v>3921846.86</v>
      </c>
      <c r="H27" s="8">
        <f t="shared" si="18"/>
        <v>3761856</v>
      </c>
      <c r="I27" s="8">
        <f t="shared" si="18"/>
        <v>2171428.5699999998</v>
      </c>
      <c r="J27" s="8">
        <f t="shared" si="18"/>
        <v>3651757.71</v>
      </c>
      <c r="K27" s="8">
        <f t="shared" si="18"/>
        <v>2791049.14</v>
      </c>
      <c r="L27" s="8">
        <f t="shared" si="18"/>
        <v>2390262.86</v>
      </c>
      <c r="M27" s="8">
        <f t="shared" si="18"/>
        <v>3782569.14</v>
      </c>
      <c r="N27" s="8">
        <f t="shared" si="18"/>
        <v>2616658.29</v>
      </c>
      <c r="O27" s="8">
        <f t="shared" si="18"/>
        <v>1954642.29</v>
      </c>
      <c r="P27" s="8">
        <f t="shared" si="18"/>
        <v>2127760</v>
      </c>
      <c r="Q27" s="8">
        <f t="shared" si="18"/>
        <v>2147584</v>
      </c>
      <c r="R27" s="8">
        <f t="shared" si="18"/>
        <v>781714.29</v>
      </c>
      <c r="S27" s="8">
        <f t="shared" si="18"/>
        <v>1062144</v>
      </c>
      <c r="T27" s="8">
        <f t="shared" si="18"/>
        <v>995360</v>
      </c>
      <c r="U27" s="8">
        <f t="shared" si="18"/>
        <v>1357878.86</v>
      </c>
      <c r="V27" s="8">
        <f t="shared" si="18"/>
        <v>1462025.14</v>
      </c>
      <c r="W27" s="8">
        <f t="shared" si="18"/>
        <v>230372.57</v>
      </c>
      <c r="X27" s="30">
        <f t="shared" si="2"/>
        <v>43595133.719999999</v>
      </c>
      <c r="Y27" s="31"/>
    </row>
    <row r="28" spans="1:25">
      <c r="A28" s="5" t="s">
        <v>64</v>
      </c>
      <c r="B28" s="6" t="s">
        <v>65</v>
      </c>
      <c r="C28" s="6"/>
      <c r="D28" s="7" t="s">
        <v>20</v>
      </c>
      <c r="E28" s="8">
        <f t="shared" ref="E28:W28" si="19">E29</f>
        <v>1651872</v>
      </c>
      <c r="F28" s="8">
        <f t="shared" si="19"/>
        <v>1542240</v>
      </c>
      <c r="G28" s="8">
        <f t="shared" si="19"/>
        <v>1960923.43</v>
      </c>
      <c r="H28" s="8">
        <f t="shared" si="19"/>
        <v>1880928</v>
      </c>
      <c r="I28" s="8">
        <f t="shared" si="19"/>
        <v>1085714.29</v>
      </c>
      <c r="J28" s="8">
        <f t="shared" si="19"/>
        <v>1825878.86</v>
      </c>
      <c r="K28" s="8">
        <f t="shared" si="19"/>
        <v>1395524.57</v>
      </c>
      <c r="L28" s="8">
        <f t="shared" si="19"/>
        <v>1195131.43</v>
      </c>
      <c r="M28" s="8">
        <f t="shared" si="19"/>
        <v>1891284.57</v>
      </c>
      <c r="N28" s="8">
        <f t="shared" si="19"/>
        <v>1308329.1399999999</v>
      </c>
      <c r="O28" s="8">
        <f t="shared" si="19"/>
        <v>977321.14</v>
      </c>
      <c r="P28" s="8">
        <f t="shared" si="19"/>
        <v>1063880</v>
      </c>
      <c r="Q28" s="8">
        <f t="shared" si="19"/>
        <v>1073792</v>
      </c>
      <c r="R28" s="8">
        <f t="shared" si="19"/>
        <v>390857.14</v>
      </c>
      <c r="S28" s="8">
        <f t="shared" si="19"/>
        <v>531072</v>
      </c>
      <c r="T28" s="8">
        <f t="shared" si="19"/>
        <v>497680</v>
      </c>
      <c r="U28" s="8">
        <f t="shared" si="19"/>
        <v>678939.43</v>
      </c>
      <c r="V28" s="8">
        <f t="shared" si="19"/>
        <v>731012.57</v>
      </c>
      <c r="W28" s="8">
        <f t="shared" si="19"/>
        <v>115186.29</v>
      </c>
      <c r="X28" s="30">
        <f t="shared" si="2"/>
        <v>21797566.859999999</v>
      </c>
      <c r="Y28" s="31"/>
    </row>
    <row r="29" spans="1:25" ht="22.5">
      <c r="A29" s="5" t="s">
        <v>66</v>
      </c>
      <c r="B29" s="6" t="s">
        <v>67</v>
      </c>
      <c r="C29" s="6" t="s">
        <v>68</v>
      </c>
      <c r="D29" s="7" t="s">
        <v>42</v>
      </c>
      <c r="E29" s="8">
        <f t="shared" ref="E29:W29" si="20">ROUND(E30/0.07*0.08,2)</f>
        <v>1651872</v>
      </c>
      <c r="F29" s="8">
        <f t="shared" si="20"/>
        <v>1542240</v>
      </c>
      <c r="G29" s="8">
        <f t="shared" si="20"/>
        <v>1960923.43</v>
      </c>
      <c r="H29" s="8">
        <f t="shared" si="20"/>
        <v>1880928</v>
      </c>
      <c r="I29" s="8">
        <f t="shared" si="20"/>
        <v>1085714.29</v>
      </c>
      <c r="J29" s="8">
        <f t="shared" si="20"/>
        <v>1825878.86</v>
      </c>
      <c r="K29" s="8">
        <f t="shared" si="20"/>
        <v>1395524.57</v>
      </c>
      <c r="L29" s="8">
        <f t="shared" si="20"/>
        <v>1195131.43</v>
      </c>
      <c r="M29" s="8">
        <f t="shared" si="20"/>
        <v>1891284.57</v>
      </c>
      <c r="N29" s="8">
        <f t="shared" si="20"/>
        <v>1308329.1399999999</v>
      </c>
      <c r="O29" s="8">
        <f t="shared" si="20"/>
        <v>977321.14</v>
      </c>
      <c r="P29" s="8">
        <f t="shared" si="20"/>
        <v>1063880</v>
      </c>
      <c r="Q29" s="8">
        <f t="shared" si="20"/>
        <v>1073792</v>
      </c>
      <c r="R29" s="8">
        <f t="shared" si="20"/>
        <v>390857.14</v>
      </c>
      <c r="S29" s="8">
        <f t="shared" si="20"/>
        <v>531072</v>
      </c>
      <c r="T29" s="8">
        <f t="shared" si="20"/>
        <v>497680</v>
      </c>
      <c r="U29" s="8">
        <f t="shared" si="20"/>
        <v>678939.43</v>
      </c>
      <c r="V29" s="8">
        <f t="shared" si="20"/>
        <v>731012.57</v>
      </c>
      <c r="W29" s="8">
        <f t="shared" si="20"/>
        <v>115186.29</v>
      </c>
      <c r="X29" s="30">
        <f t="shared" si="2"/>
        <v>21797566.859999999</v>
      </c>
      <c r="Y29" s="31"/>
    </row>
    <row r="30" spans="1:25" ht="22.5">
      <c r="A30" s="5" t="s">
        <v>69</v>
      </c>
      <c r="B30" s="6" t="s">
        <v>367</v>
      </c>
      <c r="C30" s="6" t="s">
        <v>70</v>
      </c>
      <c r="D30" s="7" t="s">
        <v>368</v>
      </c>
      <c r="E30" s="9">
        <v>1445388</v>
      </c>
      <c r="F30" s="9">
        <f>112455*12</f>
        <v>1349460</v>
      </c>
      <c r="G30" s="9">
        <f>142984*12</f>
        <v>1715808</v>
      </c>
      <c r="H30" s="9">
        <f>261240/2*12*1.05</f>
        <v>1645812</v>
      </c>
      <c r="I30" s="9">
        <v>950000</v>
      </c>
      <c r="J30" s="9">
        <v>1597644</v>
      </c>
      <c r="K30" s="9">
        <v>1221084</v>
      </c>
      <c r="L30" s="9">
        <v>1045740</v>
      </c>
      <c r="M30" s="9">
        <f>127298*13</f>
        <v>1654874</v>
      </c>
      <c r="N30" s="9">
        <f>95399*12</f>
        <v>1144788</v>
      </c>
      <c r="O30" s="9">
        <v>855156</v>
      </c>
      <c r="P30" s="9">
        <v>930895</v>
      </c>
      <c r="Q30" s="9">
        <v>939568</v>
      </c>
      <c r="R30" s="9">
        <f>28500*12</f>
        <v>342000</v>
      </c>
      <c r="S30" s="9">
        <f>38724*12</f>
        <v>464688</v>
      </c>
      <c r="T30" s="9">
        <v>435470</v>
      </c>
      <c r="U30" s="9">
        <f>49506*12</f>
        <v>594072</v>
      </c>
      <c r="V30" s="9">
        <v>639636</v>
      </c>
      <c r="W30" s="9">
        <v>100788</v>
      </c>
      <c r="X30" s="30">
        <f t="shared" si="2"/>
        <v>19072871</v>
      </c>
      <c r="Y30" s="31"/>
    </row>
    <row r="31" spans="1:25">
      <c r="A31" s="5" t="s">
        <v>71</v>
      </c>
      <c r="B31" s="6" t="s">
        <v>369</v>
      </c>
      <c r="C31" s="6" t="s">
        <v>27</v>
      </c>
      <c r="D31" s="7" t="s">
        <v>370</v>
      </c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>
        <v>0</v>
      </c>
      <c r="V31" s="9">
        <v>0</v>
      </c>
      <c r="W31" s="9"/>
      <c r="X31" s="30">
        <f t="shared" si="2"/>
        <v>0</v>
      </c>
      <c r="Y31" s="31"/>
    </row>
    <row r="32" spans="1:25">
      <c r="A32" s="5" t="s">
        <v>72</v>
      </c>
      <c r="B32" s="6" t="s">
        <v>73</v>
      </c>
      <c r="C32" s="6"/>
      <c r="D32" s="7" t="s">
        <v>20</v>
      </c>
      <c r="E32" s="8">
        <f t="shared" ref="E32:W32" si="21">E33+E35+E37</f>
        <v>1320060</v>
      </c>
      <c r="F32" s="8">
        <f t="shared" si="21"/>
        <v>1146180</v>
      </c>
      <c r="G32" s="8">
        <f t="shared" si="21"/>
        <v>21525.21</v>
      </c>
      <c r="H32" s="8">
        <f t="shared" si="21"/>
        <v>16500</v>
      </c>
      <c r="I32" s="8">
        <f t="shared" si="21"/>
        <v>870</v>
      </c>
      <c r="J32" s="8">
        <f t="shared" si="21"/>
        <v>2037780</v>
      </c>
      <c r="K32" s="8">
        <f t="shared" si="21"/>
        <v>1916400</v>
      </c>
      <c r="L32" s="8">
        <f t="shared" si="21"/>
        <v>720</v>
      </c>
      <c r="M32" s="8">
        <f t="shared" si="21"/>
        <v>43740</v>
      </c>
      <c r="N32" s="8">
        <f t="shared" si="21"/>
        <v>16500</v>
      </c>
      <c r="O32" s="8">
        <f t="shared" si="21"/>
        <v>413820</v>
      </c>
      <c r="P32" s="8">
        <f t="shared" si="21"/>
        <v>404340</v>
      </c>
      <c r="Q32" s="8">
        <f t="shared" si="21"/>
        <v>16055</v>
      </c>
      <c r="R32" s="8">
        <f t="shared" si="21"/>
        <v>360</v>
      </c>
      <c r="S32" s="8">
        <f t="shared" si="21"/>
        <v>1440</v>
      </c>
      <c r="T32" s="8">
        <f t="shared" si="21"/>
        <v>25440</v>
      </c>
      <c r="U32" s="8">
        <f t="shared" si="21"/>
        <v>1080</v>
      </c>
      <c r="V32" s="8">
        <f t="shared" si="21"/>
        <v>1800</v>
      </c>
      <c r="W32" s="8">
        <f t="shared" si="21"/>
        <v>370500</v>
      </c>
      <c r="X32" s="30">
        <f t="shared" si="2"/>
        <v>7755110.21</v>
      </c>
      <c r="Y32" s="31"/>
    </row>
    <row r="33" spans="1:25" ht="33.75">
      <c r="A33" s="5" t="s">
        <v>74</v>
      </c>
      <c r="B33" s="6" t="s">
        <v>371</v>
      </c>
      <c r="C33" s="6" t="s">
        <v>75</v>
      </c>
      <c r="D33" s="7" t="s">
        <v>372</v>
      </c>
      <c r="E33" s="8">
        <f t="shared" ref="E33:W33" si="22">E34</f>
        <v>1318980</v>
      </c>
      <c r="F33" s="8">
        <f t="shared" si="22"/>
        <v>1145100</v>
      </c>
      <c r="G33" s="8">
        <f t="shared" si="22"/>
        <v>15780</v>
      </c>
      <c r="H33" s="8">
        <f t="shared" si="22"/>
        <v>15780</v>
      </c>
      <c r="I33" s="8">
        <f t="shared" si="22"/>
        <v>0</v>
      </c>
      <c r="J33" s="8">
        <f t="shared" si="22"/>
        <v>2037060</v>
      </c>
      <c r="K33" s="8">
        <f t="shared" si="22"/>
        <v>1915680</v>
      </c>
      <c r="L33" s="8">
        <f t="shared" si="22"/>
        <v>0</v>
      </c>
      <c r="M33" s="8">
        <f t="shared" si="22"/>
        <v>39060</v>
      </c>
      <c r="N33" s="8">
        <f t="shared" si="22"/>
        <v>15780</v>
      </c>
      <c r="O33" s="8">
        <f t="shared" si="22"/>
        <v>408780</v>
      </c>
      <c r="P33" s="8">
        <f t="shared" si="22"/>
        <v>400740</v>
      </c>
      <c r="Q33" s="8">
        <f t="shared" si="22"/>
        <v>14105</v>
      </c>
      <c r="R33" s="8">
        <f t="shared" si="22"/>
        <v>0</v>
      </c>
      <c r="S33" s="8">
        <f t="shared" si="22"/>
        <v>0</v>
      </c>
      <c r="T33" s="8">
        <f t="shared" si="22"/>
        <v>24000</v>
      </c>
      <c r="U33" s="8">
        <f t="shared" si="22"/>
        <v>0</v>
      </c>
      <c r="V33" s="8">
        <f t="shared" si="22"/>
        <v>0</v>
      </c>
      <c r="W33" s="8">
        <f t="shared" si="22"/>
        <v>370500</v>
      </c>
      <c r="X33" s="30">
        <f t="shared" si="2"/>
        <v>7721345</v>
      </c>
      <c r="Y33" s="31"/>
    </row>
    <row r="34" spans="1:25" ht="33.75">
      <c r="A34" s="5" t="s">
        <v>76</v>
      </c>
      <c r="B34" s="6" t="s">
        <v>373</v>
      </c>
      <c r="C34" s="6" t="s">
        <v>75</v>
      </c>
      <c r="D34" s="7" t="s">
        <v>372</v>
      </c>
      <c r="E34" s="9">
        <f>109915*12</f>
        <v>1318980</v>
      </c>
      <c r="F34" s="9">
        <f>95425*12</f>
        <v>1145100</v>
      </c>
      <c r="G34" s="9">
        <f>1315*12</f>
        <v>15780</v>
      </c>
      <c r="H34" s="9">
        <f>1315*12</f>
        <v>15780</v>
      </c>
      <c r="I34" s="9"/>
      <c r="J34" s="9">
        <v>2037060</v>
      </c>
      <c r="K34" s="9">
        <v>1915680</v>
      </c>
      <c r="L34" s="9"/>
      <c r="M34" s="9">
        <v>39060</v>
      </c>
      <c r="N34" s="9">
        <f>1315*12</f>
        <v>15780</v>
      </c>
      <c r="O34" s="9">
        <v>408780</v>
      </c>
      <c r="P34" s="9">
        <v>400740</v>
      </c>
      <c r="Q34" s="9">
        <f>1085*12+1085</f>
        <v>14105</v>
      </c>
      <c r="R34" s="9"/>
      <c r="S34" s="9"/>
      <c r="T34" s="9">
        <v>24000</v>
      </c>
      <c r="U34" s="9"/>
      <c r="V34" s="9"/>
      <c r="W34" s="9">
        <v>370500</v>
      </c>
      <c r="X34" s="30">
        <f t="shared" si="2"/>
        <v>7721345</v>
      </c>
      <c r="Y34" s="31"/>
    </row>
    <row r="35" spans="1:25">
      <c r="A35" s="5" t="s">
        <v>77</v>
      </c>
      <c r="B35" s="6" t="s">
        <v>78</v>
      </c>
      <c r="C35" s="6"/>
      <c r="D35" s="7" t="s">
        <v>20</v>
      </c>
      <c r="E35" s="8">
        <f t="shared" ref="E35:W35" si="23">E36</f>
        <v>1080</v>
      </c>
      <c r="F35" s="8">
        <f t="shared" si="23"/>
        <v>1080</v>
      </c>
      <c r="G35" s="8">
        <f t="shared" si="23"/>
        <v>5745.21</v>
      </c>
      <c r="H35" s="8">
        <f t="shared" si="23"/>
        <v>720</v>
      </c>
      <c r="I35" s="8">
        <f t="shared" si="23"/>
        <v>870</v>
      </c>
      <c r="J35" s="8">
        <f t="shared" si="23"/>
        <v>720</v>
      </c>
      <c r="K35" s="8">
        <f t="shared" si="23"/>
        <v>720</v>
      </c>
      <c r="L35" s="8">
        <f t="shared" si="23"/>
        <v>720</v>
      </c>
      <c r="M35" s="8">
        <f t="shared" si="23"/>
        <v>4680</v>
      </c>
      <c r="N35" s="8">
        <f t="shared" si="23"/>
        <v>720</v>
      </c>
      <c r="O35" s="8">
        <f t="shared" si="23"/>
        <v>5040</v>
      </c>
      <c r="P35" s="8">
        <f t="shared" si="23"/>
        <v>3600</v>
      </c>
      <c r="Q35" s="8">
        <f t="shared" si="23"/>
        <v>1950</v>
      </c>
      <c r="R35" s="8">
        <f t="shared" si="23"/>
        <v>360</v>
      </c>
      <c r="S35" s="8">
        <f t="shared" si="23"/>
        <v>1440</v>
      </c>
      <c r="T35" s="8">
        <f t="shared" si="23"/>
        <v>1440</v>
      </c>
      <c r="U35" s="8">
        <f t="shared" si="23"/>
        <v>1080</v>
      </c>
      <c r="V35" s="8">
        <f t="shared" si="23"/>
        <v>1800</v>
      </c>
      <c r="W35" s="8">
        <f t="shared" si="23"/>
        <v>0</v>
      </c>
      <c r="X35" s="30">
        <f t="shared" si="2"/>
        <v>33765.21</v>
      </c>
      <c r="Y35" s="31"/>
    </row>
    <row r="36" spans="1:25" ht="22.5">
      <c r="A36" s="5" t="s">
        <v>79</v>
      </c>
      <c r="B36" s="6" t="s">
        <v>80</v>
      </c>
      <c r="C36" s="6" t="s">
        <v>27</v>
      </c>
      <c r="D36" s="7" t="s">
        <v>28</v>
      </c>
      <c r="E36" s="9">
        <f>90*12</f>
        <v>1080</v>
      </c>
      <c r="F36" s="9">
        <f>30*12*3</f>
        <v>1080</v>
      </c>
      <c r="G36" s="9">
        <v>5745.21</v>
      </c>
      <c r="H36" s="9">
        <f>60*12</f>
        <v>720</v>
      </c>
      <c r="I36" s="9">
        <v>870</v>
      </c>
      <c r="J36" s="9">
        <v>720</v>
      </c>
      <c r="K36" s="9">
        <v>720</v>
      </c>
      <c r="L36" s="9">
        <v>720</v>
      </c>
      <c r="M36" s="9">
        <v>4680</v>
      </c>
      <c r="N36" s="9">
        <v>720</v>
      </c>
      <c r="O36" s="9">
        <v>5040</v>
      </c>
      <c r="P36" s="9">
        <v>3600</v>
      </c>
      <c r="Q36" s="9">
        <v>1950</v>
      </c>
      <c r="R36" s="9">
        <f>30*12</f>
        <v>360</v>
      </c>
      <c r="S36" s="9">
        <f>120*12</f>
        <v>1440</v>
      </c>
      <c r="T36" s="9">
        <v>1440</v>
      </c>
      <c r="U36" s="9">
        <f>90*12</f>
        <v>1080</v>
      </c>
      <c r="V36" s="9">
        <v>1800</v>
      </c>
      <c r="W36" s="9"/>
      <c r="X36" s="30">
        <f t="shared" si="2"/>
        <v>33765.21</v>
      </c>
      <c r="Y36" s="31"/>
    </row>
    <row r="37" spans="1:25">
      <c r="A37" s="5" t="s">
        <v>81</v>
      </c>
      <c r="B37" s="6" t="s">
        <v>82</v>
      </c>
      <c r="C37" s="6"/>
      <c r="D37" s="7" t="s">
        <v>20</v>
      </c>
      <c r="E37" s="8">
        <f t="shared" ref="E37:W37" si="24">E38</f>
        <v>0</v>
      </c>
      <c r="F37" s="8">
        <f t="shared" si="24"/>
        <v>0</v>
      </c>
      <c r="G37" s="8">
        <f t="shared" si="24"/>
        <v>0</v>
      </c>
      <c r="H37" s="8">
        <f t="shared" si="24"/>
        <v>0</v>
      </c>
      <c r="I37" s="8">
        <f t="shared" si="24"/>
        <v>0</v>
      </c>
      <c r="J37" s="8">
        <f t="shared" si="24"/>
        <v>0</v>
      </c>
      <c r="K37" s="8">
        <f t="shared" si="24"/>
        <v>0</v>
      </c>
      <c r="L37" s="8">
        <f t="shared" si="24"/>
        <v>0</v>
      </c>
      <c r="M37" s="8">
        <f t="shared" si="24"/>
        <v>0</v>
      </c>
      <c r="N37" s="8">
        <f t="shared" si="24"/>
        <v>0</v>
      </c>
      <c r="O37" s="8">
        <f t="shared" si="24"/>
        <v>0</v>
      </c>
      <c r="P37" s="8">
        <f t="shared" si="24"/>
        <v>0</v>
      </c>
      <c r="Q37" s="8">
        <f t="shared" si="24"/>
        <v>0</v>
      </c>
      <c r="R37" s="8">
        <f t="shared" si="24"/>
        <v>0</v>
      </c>
      <c r="S37" s="8">
        <f t="shared" si="24"/>
        <v>0</v>
      </c>
      <c r="T37" s="8">
        <f t="shared" si="24"/>
        <v>0</v>
      </c>
      <c r="U37" s="8">
        <f t="shared" si="24"/>
        <v>0</v>
      </c>
      <c r="V37" s="8">
        <f t="shared" si="24"/>
        <v>0</v>
      </c>
      <c r="W37" s="8">
        <f t="shared" si="24"/>
        <v>0</v>
      </c>
      <c r="X37" s="30">
        <f t="shared" si="2"/>
        <v>0</v>
      </c>
      <c r="Y37" s="31"/>
    </row>
    <row r="38" spans="1:25" ht="56.25">
      <c r="A38" s="5" t="s">
        <v>83</v>
      </c>
      <c r="B38" s="6" t="s">
        <v>374</v>
      </c>
      <c r="C38" s="6" t="s">
        <v>27</v>
      </c>
      <c r="D38" s="7" t="s">
        <v>84</v>
      </c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>
        <v>0</v>
      </c>
      <c r="W38" s="9"/>
      <c r="X38" s="30">
        <f t="shared" si="2"/>
        <v>0</v>
      </c>
      <c r="Y38" s="31"/>
    </row>
    <row r="39" spans="1:25">
      <c r="A39" s="5" t="s">
        <v>85</v>
      </c>
      <c r="B39" s="6" t="s">
        <v>86</v>
      </c>
      <c r="C39" s="6"/>
      <c r="D39" s="7" t="s">
        <v>20</v>
      </c>
      <c r="E39" s="8">
        <f t="shared" ref="E39:W39" si="25">E40+E42+E44+E46+E48+E51+E53+E55+E59</f>
        <v>6331585</v>
      </c>
      <c r="F39" s="8">
        <f t="shared" si="25"/>
        <v>5741505</v>
      </c>
      <c r="G39" s="8">
        <f t="shared" si="25"/>
        <v>6573740.21</v>
      </c>
      <c r="H39" s="8">
        <f t="shared" si="25"/>
        <v>7670413.6499999994</v>
      </c>
      <c r="I39" s="8">
        <f t="shared" si="25"/>
        <v>4669536.07</v>
      </c>
      <c r="J39" s="8">
        <f t="shared" si="25"/>
        <v>7593230.96</v>
      </c>
      <c r="K39" s="8">
        <f t="shared" si="25"/>
        <v>5675883.9899999993</v>
      </c>
      <c r="L39" s="8">
        <f t="shared" si="25"/>
        <v>6826337.4100000001</v>
      </c>
      <c r="M39" s="8">
        <f t="shared" si="25"/>
        <v>5924802.1399999997</v>
      </c>
      <c r="N39" s="8">
        <f t="shared" si="25"/>
        <v>4884263.4400000004</v>
      </c>
      <c r="O39" s="8">
        <f t="shared" si="25"/>
        <v>2617763.8399999999</v>
      </c>
      <c r="P39" s="8">
        <f t="shared" si="25"/>
        <v>3235396.7</v>
      </c>
      <c r="Q39" s="8">
        <f t="shared" si="25"/>
        <v>2711997.8</v>
      </c>
      <c r="R39" s="8">
        <f t="shared" si="25"/>
        <v>1240074.29</v>
      </c>
      <c r="S39" s="8">
        <f t="shared" si="25"/>
        <v>2385241.0499999998</v>
      </c>
      <c r="T39" s="8">
        <f t="shared" si="25"/>
        <v>2228666</v>
      </c>
      <c r="U39" s="8">
        <f t="shared" si="25"/>
        <v>2333717.6800000002</v>
      </c>
      <c r="V39" s="8">
        <f t="shared" si="25"/>
        <v>2653713.14</v>
      </c>
      <c r="W39" s="8">
        <f t="shared" si="25"/>
        <v>338346.57</v>
      </c>
      <c r="X39" s="30">
        <f t="shared" si="2"/>
        <v>81636214.940000013</v>
      </c>
      <c r="Y39" s="31"/>
    </row>
    <row r="40" spans="1:25" ht="22.5">
      <c r="A40" s="5" t="s">
        <v>87</v>
      </c>
      <c r="B40" s="6" t="s">
        <v>88</v>
      </c>
      <c r="C40" s="6"/>
      <c r="D40" s="7" t="s">
        <v>89</v>
      </c>
      <c r="E40" s="9">
        <f>1248*3850</f>
        <v>4804800</v>
      </c>
      <c r="F40" s="9">
        <v>4396700</v>
      </c>
      <c r="G40" s="9">
        <v>4732990</v>
      </c>
      <c r="H40" s="9">
        <v>6352500</v>
      </c>
      <c r="I40" s="9">
        <v>3780700</v>
      </c>
      <c r="J40" s="9">
        <v>5620710</v>
      </c>
      <c r="K40" s="9">
        <v>4118430</v>
      </c>
      <c r="L40" s="9">
        <v>5829360</v>
      </c>
      <c r="M40" s="9">
        <f>M69*3210</f>
        <v>4532520</v>
      </c>
      <c r="N40" s="9">
        <v>3957930</v>
      </c>
      <c r="O40" s="9">
        <v>1793220</v>
      </c>
      <c r="P40" s="9">
        <v>2328040</v>
      </c>
      <c r="Q40" s="9">
        <v>1936220</v>
      </c>
      <c r="R40" s="9">
        <v>892320</v>
      </c>
      <c r="S40" s="9">
        <f>998140+858000</f>
        <v>1856140</v>
      </c>
      <c r="T40" s="9">
        <v>1716000</v>
      </c>
      <c r="U40" s="9">
        <f>300*2860+309*2860</f>
        <v>1741740</v>
      </c>
      <c r="V40" s="9">
        <v>1996280</v>
      </c>
      <c r="W40" s="9">
        <v>134400</v>
      </c>
      <c r="X40" s="30">
        <f t="shared" si="2"/>
        <v>62521000</v>
      </c>
      <c r="Y40" s="31"/>
    </row>
    <row r="41" spans="1:25">
      <c r="A41" s="5" t="s">
        <v>90</v>
      </c>
      <c r="B41" s="6" t="s">
        <v>375</v>
      </c>
      <c r="C41" s="6" t="s">
        <v>376</v>
      </c>
      <c r="D41" s="11" t="s">
        <v>377</v>
      </c>
      <c r="E41" s="9">
        <f>E40*0.05</f>
        <v>240240</v>
      </c>
      <c r="F41" s="9">
        <v>219835</v>
      </c>
      <c r="G41" s="9">
        <v>236649.5</v>
      </c>
      <c r="H41" s="9">
        <f>H40*5%</f>
        <v>317625</v>
      </c>
      <c r="I41" s="9">
        <v>189035</v>
      </c>
      <c r="J41" s="9">
        <v>281035.5</v>
      </c>
      <c r="K41" s="9">
        <v>205921.5</v>
      </c>
      <c r="L41" s="9">
        <v>291468</v>
      </c>
      <c r="M41" s="9">
        <v>226626</v>
      </c>
      <c r="N41" s="9">
        <v>197896.5</v>
      </c>
      <c r="O41" s="9">
        <f>34177+53911</f>
        <v>88088</v>
      </c>
      <c r="P41" s="9">
        <v>116402</v>
      </c>
      <c r="Q41" s="9">
        <v>96811</v>
      </c>
      <c r="R41" s="9">
        <v>44616</v>
      </c>
      <c r="S41" s="9">
        <v>75218</v>
      </c>
      <c r="T41" s="9">
        <v>67496</v>
      </c>
      <c r="U41" s="9">
        <f>309*2860*0.05+205*2860*0.05</f>
        <v>73502</v>
      </c>
      <c r="V41" s="9">
        <v>99671</v>
      </c>
      <c r="W41" s="9">
        <v>6720</v>
      </c>
      <c r="X41" s="30">
        <f t="shared" si="2"/>
        <v>3074856</v>
      </c>
      <c r="Y41" s="31"/>
    </row>
    <row r="42" spans="1:25">
      <c r="A42" s="5" t="s">
        <v>91</v>
      </c>
      <c r="B42" s="6" t="s">
        <v>92</v>
      </c>
      <c r="C42" s="6"/>
      <c r="D42" s="7"/>
      <c r="E42" s="8">
        <f t="shared" ref="E42:W42" si="26">E43</f>
        <v>31600</v>
      </c>
      <c r="F42" s="8">
        <f t="shared" si="26"/>
        <v>31200</v>
      </c>
      <c r="G42" s="8">
        <f t="shared" si="26"/>
        <v>38800</v>
      </c>
      <c r="H42" s="8">
        <f t="shared" si="26"/>
        <v>36000</v>
      </c>
      <c r="I42" s="8">
        <f t="shared" si="26"/>
        <v>22800</v>
      </c>
      <c r="J42" s="8">
        <f t="shared" si="26"/>
        <v>36400</v>
      </c>
      <c r="K42" s="8">
        <f t="shared" si="26"/>
        <v>28000</v>
      </c>
      <c r="L42" s="8">
        <f t="shared" si="26"/>
        <v>27200</v>
      </c>
      <c r="M42" s="8">
        <f t="shared" si="26"/>
        <v>34800</v>
      </c>
      <c r="N42" s="8">
        <f t="shared" si="26"/>
        <v>26800</v>
      </c>
      <c r="O42" s="8">
        <f t="shared" si="26"/>
        <v>22400</v>
      </c>
      <c r="P42" s="8">
        <f t="shared" si="26"/>
        <v>23200</v>
      </c>
      <c r="Q42" s="8">
        <f t="shared" si="26"/>
        <v>22800</v>
      </c>
      <c r="R42" s="8">
        <f t="shared" si="26"/>
        <v>8800</v>
      </c>
      <c r="S42" s="8">
        <f t="shared" si="26"/>
        <v>12400</v>
      </c>
      <c r="T42" s="8">
        <f t="shared" si="26"/>
        <v>10800</v>
      </c>
      <c r="U42" s="8">
        <f t="shared" si="26"/>
        <v>15200</v>
      </c>
      <c r="V42" s="8">
        <f t="shared" si="26"/>
        <v>16400</v>
      </c>
      <c r="W42" s="8">
        <f t="shared" si="26"/>
        <v>2400</v>
      </c>
      <c r="X42" s="30">
        <f t="shared" si="2"/>
        <v>448000</v>
      </c>
      <c r="Y42" s="31"/>
    </row>
    <row r="43" spans="1:25" ht="33.75">
      <c r="A43" s="5" t="s">
        <v>93</v>
      </c>
      <c r="B43" s="6" t="s">
        <v>94</v>
      </c>
      <c r="C43" s="6" t="s">
        <v>27</v>
      </c>
      <c r="D43" s="11" t="s">
        <v>95</v>
      </c>
      <c r="E43" s="8">
        <f t="shared" ref="E43:W43" si="27">E62*400</f>
        <v>31600</v>
      </c>
      <c r="F43" s="8">
        <f t="shared" si="27"/>
        <v>31200</v>
      </c>
      <c r="G43" s="8">
        <f t="shared" si="27"/>
        <v>38800</v>
      </c>
      <c r="H43" s="8">
        <f t="shared" si="27"/>
        <v>36000</v>
      </c>
      <c r="I43" s="8">
        <f t="shared" si="27"/>
        <v>22800</v>
      </c>
      <c r="J43" s="8">
        <f t="shared" si="27"/>
        <v>36400</v>
      </c>
      <c r="K43" s="8">
        <f t="shared" si="27"/>
        <v>28000</v>
      </c>
      <c r="L43" s="8">
        <f t="shared" si="27"/>
        <v>27200</v>
      </c>
      <c r="M43" s="8">
        <f t="shared" si="27"/>
        <v>34800</v>
      </c>
      <c r="N43" s="8">
        <f t="shared" si="27"/>
        <v>26800</v>
      </c>
      <c r="O43" s="8">
        <f t="shared" si="27"/>
        <v>22400</v>
      </c>
      <c r="P43" s="8">
        <f t="shared" si="27"/>
        <v>23200</v>
      </c>
      <c r="Q43" s="8">
        <f t="shared" si="27"/>
        <v>22800</v>
      </c>
      <c r="R43" s="8">
        <f t="shared" si="27"/>
        <v>8800</v>
      </c>
      <c r="S43" s="8">
        <f t="shared" si="27"/>
        <v>12400</v>
      </c>
      <c r="T43" s="8">
        <f t="shared" si="27"/>
        <v>10800</v>
      </c>
      <c r="U43" s="8">
        <f t="shared" si="27"/>
        <v>15200</v>
      </c>
      <c r="V43" s="8">
        <f t="shared" si="27"/>
        <v>16400</v>
      </c>
      <c r="W43" s="8">
        <f t="shared" si="27"/>
        <v>2400</v>
      </c>
      <c r="X43" s="30">
        <f t="shared" si="2"/>
        <v>448000</v>
      </c>
      <c r="Y43" s="31"/>
    </row>
    <row r="44" spans="1:25">
      <c r="A44" s="5" t="s">
        <v>96</v>
      </c>
      <c r="B44" s="6" t="s">
        <v>97</v>
      </c>
      <c r="C44" s="6"/>
      <c r="D44" s="7" t="s">
        <v>20</v>
      </c>
      <c r="E44" s="8">
        <f t="shared" ref="E44:W44" si="28">E45</f>
        <v>255945</v>
      </c>
      <c r="F44" s="8">
        <f t="shared" si="28"/>
        <v>178845</v>
      </c>
      <c r="G44" s="8">
        <f t="shared" si="28"/>
        <v>715855.35000000009</v>
      </c>
      <c r="H44" s="8">
        <f t="shared" si="28"/>
        <v>277220.84999999998</v>
      </c>
      <c r="I44" s="8">
        <f t="shared" si="28"/>
        <v>237987.90000000002</v>
      </c>
      <c r="J44" s="8">
        <f t="shared" si="28"/>
        <v>353195.25</v>
      </c>
      <c r="K44" s="8">
        <f t="shared" si="28"/>
        <v>247352.84999999998</v>
      </c>
      <c r="L44" s="8">
        <f t="shared" si="28"/>
        <v>249734.55000000002</v>
      </c>
      <c r="M44" s="8">
        <f t="shared" si="28"/>
        <v>336501</v>
      </c>
      <c r="N44" s="8">
        <f t="shared" si="28"/>
        <v>178714.35</v>
      </c>
      <c r="O44" s="8">
        <f t="shared" si="28"/>
        <v>114821.55</v>
      </c>
      <c r="P44" s="8">
        <f t="shared" si="28"/>
        <v>181706.7</v>
      </c>
      <c r="Q44" s="8">
        <f t="shared" si="28"/>
        <v>156571.80000000002</v>
      </c>
      <c r="R44" s="8">
        <f t="shared" si="28"/>
        <v>91200</v>
      </c>
      <c r="S44" s="8">
        <f t="shared" si="28"/>
        <v>172748.25</v>
      </c>
      <c r="T44" s="8">
        <f t="shared" si="28"/>
        <v>179094</v>
      </c>
      <c r="U44" s="8">
        <f t="shared" si="28"/>
        <v>169364.1</v>
      </c>
      <c r="V44" s="8">
        <f t="shared" si="28"/>
        <v>202800</v>
      </c>
      <c r="W44" s="8">
        <f t="shared" si="28"/>
        <v>23670</v>
      </c>
      <c r="X44" s="30">
        <f t="shared" si="2"/>
        <v>4323328.5</v>
      </c>
      <c r="Y44" s="31"/>
    </row>
    <row r="45" spans="1:25" ht="33.75">
      <c r="A45" s="5" t="s">
        <v>98</v>
      </c>
      <c r="B45" s="6" t="s">
        <v>99</v>
      </c>
      <c r="C45" s="6" t="s">
        <v>27</v>
      </c>
      <c r="D45" s="11" t="s">
        <v>100</v>
      </c>
      <c r="E45" s="8">
        <f t="shared" ref="E45:W45" si="29">E73*15</f>
        <v>255945</v>
      </c>
      <c r="F45" s="8">
        <f t="shared" si="29"/>
        <v>178845</v>
      </c>
      <c r="G45" s="8">
        <f t="shared" si="29"/>
        <v>715855.35000000009</v>
      </c>
      <c r="H45" s="8">
        <f t="shared" si="29"/>
        <v>277220.84999999998</v>
      </c>
      <c r="I45" s="8">
        <f t="shared" si="29"/>
        <v>237987.90000000002</v>
      </c>
      <c r="J45" s="8">
        <f t="shared" si="29"/>
        <v>353195.25</v>
      </c>
      <c r="K45" s="8">
        <f t="shared" si="29"/>
        <v>247352.84999999998</v>
      </c>
      <c r="L45" s="8">
        <f t="shared" si="29"/>
        <v>249734.55000000002</v>
      </c>
      <c r="M45" s="8">
        <f t="shared" si="29"/>
        <v>336501</v>
      </c>
      <c r="N45" s="8">
        <f t="shared" si="29"/>
        <v>178714.35</v>
      </c>
      <c r="O45" s="8">
        <f t="shared" si="29"/>
        <v>114821.55</v>
      </c>
      <c r="P45" s="8">
        <f t="shared" si="29"/>
        <v>181706.7</v>
      </c>
      <c r="Q45" s="8">
        <f t="shared" si="29"/>
        <v>156571.80000000002</v>
      </c>
      <c r="R45" s="8">
        <f t="shared" si="29"/>
        <v>91200</v>
      </c>
      <c r="S45" s="8">
        <f t="shared" si="29"/>
        <v>172748.25</v>
      </c>
      <c r="T45" s="8">
        <f t="shared" si="29"/>
        <v>179094</v>
      </c>
      <c r="U45" s="8">
        <f t="shared" si="29"/>
        <v>169364.1</v>
      </c>
      <c r="V45" s="8">
        <f t="shared" si="29"/>
        <v>202800</v>
      </c>
      <c r="W45" s="8">
        <f t="shared" si="29"/>
        <v>23670</v>
      </c>
      <c r="X45" s="30">
        <f t="shared" si="2"/>
        <v>4323328.5</v>
      </c>
      <c r="Y45" s="31"/>
    </row>
    <row r="46" spans="1:25">
      <c r="A46" s="5" t="s">
        <v>101</v>
      </c>
      <c r="B46" s="6" t="s">
        <v>102</v>
      </c>
      <c r="C46" s="6"/>
      <c r="D46" s="7" t="s">
        <v>20</v>
      </c>
      <c r="E46" s="8">
        <f t="shared" ref="E46:W46" si="30">E47</f>
        <v>126632</v>
      </c>
      <c r="F46" s="8">
        <f t="shared" si="30"/>
        <v>82880</v>
      </c>
      <c r="G46" s="8">
        <f t="shared" si="30"/>
        <v>130104</v>
      </c>
      <c r="H46" s="8">
        <f t="shared" si="30"/>
        <v>100940.8</v>
      </c>
      <c r="I46" s="8">
        <f t="shared" si="30"/>
        <v>68379.600000000006</v>
      </c>
      <c r="J46" s="8">
        <f t="shared" si="30"/>
        <v>157696</v>
      </c>
      <c r="K46" s="8">
        <f t="shared" si="30"/>
        <v>89280</v>
      </c>
      <c r="L46" s="8">
        <f t="shared" si="30"/>
        <v>89000</v>
      </c>
      <c r="M46" s="8">
        <f t="shared" si="30"/>
        <v>125600</v>
      </c>
      <c r="N46" s="8">
        <f t="shared" si="30"/>
        <v>67576.800000000003</v>
      </c>
      <c r="O46" s="8">
        <f t="shared" si="30"/>
        <v>41072</v>
      </c>
      <c r="P46" s="8">
        <f t="shared" si="30"/>
        <v>34640</v>
      </c>
      <c r="Q46" s="8">
        <f t="shared" si="30"/>
        <v>34128</v>
      </c>
      <c r="R46" s="8">
        <f t="shared" si="30"/>
        <v>20000</v>
      </c>
      <c r="S46" s="8">
        <f t="shared" si="30"/>
        <v>40464.800000000003</v>
      </c>
      <c r="T46" s="8">
        <f t="shared" si="30"/>
        <v>39992</v>
      </c>
      <c r="U46" s="8">
        <f t="shared" si="30"/>
        <v>37018.720000000001</v>
      </c>
      <c r="V46" s="8">
        <f t="shared" si="30"/>
        <v>40360</v>
      </c>
      <c r="W46" s="8">
        <f t="shared" si="30"/>
        <v>5000</v>
      </c>
      <c r="X46" s="30">
        <f t="shared" si="2"/>
        <v>1330764.7200000002</v>
      </c>
      <c r="Y46" s="31"/>
    </row>
    <row r="47" spans="1:25" ht="33.75">
      <c r="A47" s="5" t="s">
        <v>103</v>
      </c>
      <c r="B47" s="6" t="s">
        <v>104</v>
      </c>
      <c r="C47" s="6" t="s">
        <v>27</v>
      </c>
      <c r="D47" s="11" t="s">
        <v>105</v>
      </c>
      <c r="E47" s="8">
        <f t="shared" ref="E47:W47" si="31">E74*8</f>
        <v>126632</v>
      </c>
      <c r="F47" s="8">
        <f t="shared" si="31"/>
        <v>82880</v>
      </c>
      <c r="G47" s="8">
        <f t="shared" si="31"/>
        <v>130104</v>
      </c>
      <c r="H47" s="8">
        <f t="shared" si="31"/>
        <v>100940.8</v>
      </c>
      <c r="I47" s="8">
        <f t="shared" si="31"/>
        <v>68379.600000000006</v>
      </c>
      <c r="J47" s="8">
        <f t="shared" si="31"/>
        <v>157696</v>
      </c>
      <c r="K47" s="8">
        <f t="shared" si="31"/>
        <v>89280</v>
      </c>
      <c r="L47" s="8">
        <f t="shared" si="31"/>
        <v>89000</v>
      </c>
      <c r="M47" s="8">
        <f t="shared" si="31"/>
        <v>125600</v>
      </c>
      <c r="N47" s="8">
        <f t="shared" si="31"/>
        <v>67576.800000000003</v>
      </c>
      <c r="O47" s="8">
        <f t="shared" si="31"/>
        <v>41072</v>
      </c>
      <c r="P47" s="8">
        <f t="shared" si="31"/>
        <v>34640</v>
      </c>
      <c r="Q47" s="8">
        <f t="shared" si="31"/>
        <v>34128</v>
      </c>
      <c r="R47" s="8">
        <f t="shared" si="31"/>
        <v>20000</v>
      </c>
      <c r="S47" s="8">
        <f t="shared" si="31"/>
        <v>40464.800000000003</v>
      </c>
      <c r="T47" s="8">
        <f t="shared" si="31"/>
        <v>39992</v>
      </c>
      <c r="U47" s="8">
        <f t="shared" si="31"/>
        <v>37018.720000000001</v>
      </c>
      <c r="V47" s="8">
        <f t="shared" si="31"/>
        <v>40360</v>
      </c>
      <c r="W47" s="8">
        <f t="shared" si="31"/>
        <v>5000</v>
      </c>
      <c r="X47" s="30">
        <f t="shared" si="2"/>
        <v>1330764.7200000002</v>
      </c>
      <c r="Y47" s="31"/>
    </row>
    <row r="48" spans="1:25">
      <c r="A48" s="5" t="s">
        <v>106</v>
      </c>
      <c r="B48" s="6" t="s">
        <v>288</v>
      </c>
      <c r="C48" s="6"/>
      <c r="D48" s="7" t="s">
        <v>20</v>
      </c>
      <c r="E48" s="8">
        <f t="shared" ref="E48:W48" si="32">E49+E50</f>
        <v>635040</v>
      </c>
      <c r="F48" s="8">
        <f t="shared" si="32"/>
        <v>609120</v>
      </c>
      <c r="G48" s="8">
        <f t="shared" si="32"/>
        <v>423360</v>
      </c>
      <c r="H48" s="8">
        <f t="shared" si="32"/>
        <v>393120</v>
      </c>
      <c r="I48" s="8">
        <f t="shared" si="32"/>
        <v>246240</v>
      </c>
      <c r="J48" s="8">
        <f t="shared" si="32"/>
        <v>876960</v>
      </c>
      <c r="K48" s="8">
        <f t="shared" si="32"/>
        <v>764640</v>
      </c>
      <c r="L48" s="8">
        <f t="shared" si="32"/>
        <v>293760</v>
      </c>
      <c r="M48" s="8">
        <f t="shared" si="32"/>
        <v>380160</v>
      </c>
      <c r="N48" s="8">
        <f t="shared" si="32"/>
        <v>293760</v>
      </c>
      <c r="O48" s="8">
        <f t="shared" si="32"/>
        <v>349920</v>
      </c>
      <c r="P48" s="8">
        <f t="shared" si="32"/>
        <v>354240</v>
      </c>
      <c r="Q48" s="8">
        <f t="shared" si="32"/>
        <v>254880</v>
      </c>
      <c r="R48" s="8">
        <f t="shared" si="32"/>
        <v>95040</v>
      </c>
      <c r="S48" s="8">
        <f t="shared" si="32"/>
        <v>133920</v>
      </c>
      <c r="T48" s="8">
        <f t="shared" si="32"/>
        <v>120960</v>
      </c>
      <c r="U48" s="8">
        <f t="shared" si="32"/>
        <v>164160</v>
      </c>
      <c r="V48" s="8">
        <f t="shared" si="32"/>
        <v>177120</v>
      </c>
      <c r="W48" s="8">
        <f t="shared" si="32"/>
        <v>103680</v>
      </c>
      <c r="X48" s="30">
        <f t="shared" si="2"/>
        <v>6670080</v>
      </c>
      <c r="Y48" s="31"/>
    </row>
    <row r="49" spans="1:25" ht="33.75">
      <c r="A49" s="5" t="s">
        <v>107</v>
      </c>
      <c r="B49" s="6" t="s">
        <v>289</v>
      </c>
      <c r="C49" s="6" t="s">
        <v>27</v>
      </c>
      <c r="D49" s="11" t="s">
        <v>108</v>
      </c>
      <c r="E49" s="8">
        <f t="shared" ref="E49:W49" si="33">E62*4320</f>
        <v>341280</v>
      </c>
      <c r="F49" s="8">
        <f t="shared" si="33"/>
        <v>336960</v>
      </c>
      <c r="G49" s="8">
        <f t="shared" si="33"/>
        <v>419040</v>
      </c>
      <c r="H49" s="8">
        <f t="shared" si="33"/>
        <v>388800</v>
      </c>
      <c r="I49" s="8">
        <f t="shared" si="33"/>
        <v>246240</v>
      </c>
      <c r="J49" s="8">
        <f t="shared" si="33"/>
        <v>393120</v>
      </c>
      <c r="K49" s="8">
        <f t="shared" si="33"/>
        <v>302400</v>
      </c>
      <c r="L49" s="8">
        <f t="shared" si="33"/>
        <v>293760</v>
      </c>
      <c r="M49" s="8">
        <f t="shared" si="33"/>
        <v>375840</v>
      </c>
      <c r="N49" s="8">
        <f t="shared" si="33"/>
        <v>289440</v>
      </c>
      <c r="O49" s="8">
        <f t="shared" si="33"/>
        <v>241920</v>
      </c>
      <c r="P49" s="8">
        <f t="shared" si="33"/>
        <v>250560</v>
      </c>
      <c r="Q49" s="8">
        <f t="shared" si="33"/>
        <v>246240</v>
      </c>
      <c r="R49" s="8">
        <f t="shared" si="33"/>
        <v>95040</v>
      </c>
      <c r="S49" s="8">
        <f t="shared" si="33"/>
        <v>133920</v>
      </c>
      <c r="T49" s="8">
        <f t="shared" si="33"/>
        <v>116640</v>
      </c>
      <c r="U49" s="8">
        <f t="shared" si="33"/>
        <v>164160</v>
      </c>
      <c r="V49" s="8">
        <f t="shared" si="33"/>
        <v>177120</v>
      </c>
      <c r="W49" s="8">
        <f t="shared" si="33"/>
        <v>25920</v>
      </c>
      <c r="X49" s="30">
        <f t="shared" si="2"/>
        <v>4838400</v>
      </c>
      <c r="Y49" s="31"/>
    </row>
    <row r="50" spans="1:25" ht="33.75">
      <c r="A50" s="5" t="s">
        <v>109</v>
      </c>
      <c r="B50" s="6" t="s">
        <v>290</v>
      </c>
      <c r="C50" s="6" t="s">
        <v>27</v>
      </c>
      <c r="D50" s="11" t="s">
        <v>291</v>
      </c>
      <c r="E50" s="8">
        <f t="shared" ref="E50:W50" si="34">E72*4320</f>
        <v>293760</v>
      </c>
      <c r="F50" s="8">
        <f t="shared" si="34"/>
        <v>272160</v>
      </c>
      <c r="G50" s="8">
        <f t="shared" si="34"/>
        <v>4320</v>
      </c>
      <c r="H50" s="8">
        <f t="shared" si="34"/>
        <v>4320</v>
      </c>
      <c r="I50" s="8">
        <f t="shared" si="34"/>
        <v>0</v>
      </c>
      <c r="J50" s="8">
        <f t="shared" si="34"/>
        <v>483840</v>
      </c>
      <c r="K50" s="8">
        <f t="shared" si="34"/>
        <v>462240</v>
      </c>
      <c r="L50" s="8">
        <f t="shared" si="34"/>
        <v>0</v>
      </c>
      <c r="M50" s="8">
        <f t="shared" si="34"/>
        <v>4320</v>
      </c>
      <c r="N50" s="8">
        <f t="shared" si="34"/>
        <v>4320</v>
      </c>
      <c r="O50" s="8">
        <f t="shared" si="34"/>
        <v>108000</v>
      </c>
      <c r="P50" s="8">
        <f t="shared" si="34"/>
        <v>103680</v>
      </c>
      <c r="Q50" s="8">
        <f t="shared" si="34"/>
        <v>8640</v>
      </c>
      <c r="R50" s="8">
        <f t="shared" si="34"/>
        <v>0</v>
      </c>
      <c r="S50" s="8">
        <f t="shared" si="34"/>
        <v>0</v>
      </c>
      <c r="T50" s="8">
        <f t="shared" si="34"/>
        <v>4320</v>
      </c>
      <c r="U50" s="8">
        <f t="shared" si="34"/>
        <v>0</v>
      </c>
      <c r="V50" s="8">
        <f t="shared" si="34"/>
        <v>0</v>
      </c>
      <c r="W50" s="8">
        <f t="shared" si="34"/>
        <v>77760</v>
      </c>
      <c r="X50" s="30">
        <f t="shared" si="2"/>
        <v>1831680</v>
      </c>
      <c r="Y50" s="31"/>
    </row>
    <row r="51" spans="1:25">
      <c r="A51" s="5" t="s">
        <v>110</v>
      </c>
      <c r="B51" s="6" t="s">
        <v>292</v>
      </c>
      <c r="C51" s="6"/>
      <c r="D51" s="7" t="s">
        <v>20</v>
      </c>
      <c r="E51" s="8">
        <f t="shared" ref="E51:W51" si="35">E52</f>
        <v>412968</v>
      </c>
      <c r="F51" s="8">
        <f t="shared" si="35"/>
        <v>385560</v>
      </c>
      <c r="G51" s="8">
        <f t="shared" si="35"/>
        <v>490230.86</v>
      </c>
      <c r="H51" s="8">
        <f t="shared" si="35"/>
        <v>470232</v>
      </c>
      <c r="I51" s="8">
        <f t="shared" si="35"/>
        <v>271428.57</v>
      </c>
      <c r="J51" s="8">
        <f t="shared" si="35"/>
        <v>456469.71</v>
      </c>
      <c r="K51" s="8">
        <f t="shared" si="35"/>
        <v>348881.14</v>
      </c>
      <c r="L51" s="8">
        <f t="shared" si="35"/>
        <v>298782.86</v>
      </c>
      <c r="M51" s="8">
        <f t="shared" si="35"/>
        <v>472821.14</v>
      </c>
      <c r="N51" s="8">
        <f t="shared" si="35"/>
        <v>327082.28999999998</v>
      </c>
      <c r="O51" s="8">
        <f t="shared" si="35"/>
        <v>244330.29</v>
      </c>
      <c r="P51" s="8">
        <f t="shared" si="35"/>
        <v>265970</v>
      </c>
      <c r="Q51" s="8">
        <f t="shared" si="35"/>
        <v>268448</v>
      </c>
      <c r="R51" s="8">
        <f t="shared" si="35"/>
        <v>97714.29</v>
      </c>
      <c r="S51" s="8">
        <f t="shared" si="35"/>
        <v>132768</v>
      </c>
      <c r="T51" s="8">
        <f t="shared" si="35"/>
        <v>124420</v>
      </c>
      <c r="U51" s="8">
        <f t="shared" si="35"/>
        <v>169734.86</v>
      </c>
      <c r="V51" s="8">
        <f t="shared" si="35"/>
        <v>182753.14</v>
      </c>
      <c r="W51" s="8">
        <f t="shared" si="35"/>
        <v>28796.57</v>
      </c>
      <c r="X51" s="30">
        <f t="shared" si="2"/>
        <v>5449391.7200000007</v>
      </c>
      <c r="Y51" s="31"/>
    </row>
    <row r="52" spans="1:25" ht="22.5">
      <c r="A52" s="5" t="s">
        <v>111</v>
      </c>
      <c r="B52" s="6" t="s">
        <v>112</v>
      </c>
      <c r="C52" s="6" t="s">
        <v>27</v>
      </c>
      <c r="D52" s="7" t="s">
        <v>42</v>
      </c>
      <c r="E52" s="8">
        <f t="shared" ref="E52:W52" si="36">ROUND(E30/0.07*0.02,2)</f>
        <v>412968</v>
      </c>
      <c r="F52" s="8">
        <f t="shared" si="36"/>
        <v>385560</v>
      </c>
      <c r="G52" s="8">
        <f t="shared" si="36"/>
        <v>490230.86</v>
      </c>
      <c r="H52" s="8">
        <f t="shared" si="36"/>
        <v>470232</v>
      </c>
      <c r="I52" s="8">
        <f t="shared" si="36"/>
        <v>271428.57</v>
      </c>
      <c r="J52" s="8">
        <f t="shared" si="36"/>
        <v>456469.71</v>
      </c>
      <c r="K52" s="8">
        <f t="shared" si="36"/>
        <v>348881.14</v>
      </c>
      <c r="L52" s="8">
        <f t="shared" si="36"/>
        <v>298782.86</v>
      </c>
      <c r="M52" s="8">
        <f t="shared" si="36"/>
        <v>472821.14</v>
      </c>
      <c r="N52" s="8">
        <f t="shared" si="36"/>
        <v>327082.28999999998</v>
      </c>
      <c r="O52" s="8">
        <f t="shared" si="36"/>
        <v>244330.29</v>
      </c>
      <c r="P52" s="8">
        <f t="shared" si="36"/>
        <v>265970</v>
      </c>
      <c r="Q52" s="8">
        <f t="shared" si="36"/>
        <v>268448</v>
      </c>
      <c r="R52" s="8">
        <f t="shared" si="36"/>
        <v>97714.29</v>
      </c>
      <c r="S52" s="8">
        <f t="shared" si="36"/>
        <v>132768</v>
      </c>
      <c r="T52" s="8">
        <f t="shared" si="36"/>
        <v>124420</v>
      </c>
      <c r="U52" s="8">
        <f t="shared" si="36"/>
        <v>169734.86</v>
      </c>
      <c r="V52" s="8">
        <f t="shared" si="36"/>
        <v>182753.14</v>
      </c>
      <c r="W52" s="8">
        <f t="shared" si="36"/>
        <v>28796.57</v>
      </c>
      <c r="X52" s="30">
        <f t="shared" si="2"/>
        <v>5449391.7200000007</v>
      </c>
      <c r="Y52" s="31"/>
    </row>
    <row r="53" spans="1:25">
      <c r="A53" s="5" t="s">
        <v>113</v>
      </c>
      <c r="B53" s="6" t="s">
        <v>293</v>
      </c>
      <c r="C53" s="6"/>
      <c r="D53" s="7" t="s">
        <v>20</v>
      </c>
      <c r="E53" s="8">
        <f t="shared" ref="E53:W53" si="37">E54</f>
        <v>32000</v>
      </c>
      <c r="F53" s="8">
        <f t="shared" si="37"/>
        <v>32000</v>
      </c>
      <c r="G53" s="8">
        <f t="shared" si="37"/>
        <v>0</v>
      </c>
      <c r="H53" s="8">
        <f t="shared" si="37"/>
        <v>0</v>
      </c>
      <c r="I53" s="8">
        <f t="shared" si="37"/>
        <v>32000</v>
      </c>
      <c r="J53" s="8">
        <f t="shared" si="37"/>
        <v>32000</v>
      </c>
      <c r="K53" s="8">
        <f t="shared" si="37"/>
        <v>32000</v>
      </c>
      <c r="L53" s="8">
        <f t="shared" si="37"/>
        <v>0</v>
      </c>
      <c r="M53" s="8">
        <f t="shared" si="37"/>
        <v>0</v>
      </c>
      <c r="N53" s="8">
        <f t="shared" si="37"/>
        <v>0</v>
      </c>
      <c r="O53" s="8">
        <f t="shared" si="37"/>
        <v>32000</v>
      </c>
      <c r="P53" s="8">
        <f t="shared" si="37"/>
        <v>25000</v>
      </c>
      <c r="Q53" s="8">
        <f t="shared" si="37"/>
        <v>0</v>
      </c>
      <c r="R53" s="8">
        <f t="shared" si="37"/>
        <v>0</v>
      </c>
      <c r="S53" s="8">
        <f t="shared" si="37"/>
        <v>0</v>
      </c>
      <c r="T53" s="8">
        <f t="shared" si="37"/>
        <v>0</v>
      </c>
      <c r="U53" s="8">
        <f t="shared" si="37"/>
        <v>0</v>
      </c>
      <c r="V53" s="8">
        <f t="shared" si="37"/>
        <v>0</v>
      </c>
      <c r="W53" s="8">
        <f t="shared" si="37"/>
        <v>32000</v>
      </c>
      <c r="X53" s="30">
        <f t="shared" si="2"/>
        <v>249000</v>
      </c>
      <c r="Y53" s="31"/>
    </row>
    <row r="54" spans="1:25" ht="90">
      <c r="A54" s="5" t="s">
        <v>114</v>
      </c>
      <c r="B54" s="6" t="s">
        <v>115</v>
      </c>
      <c r="C54" s="6" t="s">
        <v>27</v>
      </c>
      <c r="D54" s="11" t="s">
        <v>294</v>
      </c>
      <c r="E54" s="9">
        <v>32000</v>
      </c>
      <c r="F54" s="9">
        <v>32000</v>
      </c>
      <c r="G54" s="9">
        <v>0</v>
      </c>
      <c r="H54" s="9"/>
      <c r="I54" s="9">
        <v>32000</v>
      </c>
      <c r="J54" s="9">
        <v>32000</v>
      </c>
      <c r="K54" s="9">
        <v>32000</v>
      </c>
      <c r="L54" s="9"/>
      <c r="M54" s="9"/>
      <c r="N54" s="9"/>
      <c r="O54" s="9">
        <v>32000</v>
      </c>
      <c r="P54" s="9">
        <v>25000</v>
      </c>
      <c r="Q54" s="9"/>
      <c r="R54" s="9"/>
      <c r="S54" s="9"/>
      <c r="T54" s="9"/>
      <c r="U54" s="9">
        <v>0</v>
      </c>
      <c r="V54" s="9"/>
      <c r="W54" s="9">
        <v>32000</v>
      </c>
      <c r="X54" s="30">
        <f t="shared" si="2"/>
        <v>249000</v>
      </c>
      <c r="Y54" s="31"/>
    </row>
    <row r="55" spans="1:25">
      <c r="A55" s="5" t="s">
        <v>116</v>
      </c>
      <c r="B55" s="6" t="s">
        <v>295</v>
      </c>
      <c r="C55" s="6"/>
      <c r="D55" s="7" t="s">
        <v>20</v>
      </c>
      <c r="E55" s="8">
        <f t="shared" ref="E55:W55" si="38">E56+E58</f>
        <v>32600</v>
      </c>
      <c r="F55" s="8">
        <f t="shared" si="38"/>
        <v>25200</v>
      </c>
      <c r="G55" s="8">
        <f t="shared" si="38"/>
        <v>10400</v>
      </c>
      <c r="H55" s="8">
        <f t="shared" si="38"/>
        <v>8400</v>
      </c>
      <c r="I55" s="8">
        <f t="shared" si="38"/>
        <v>10000</v>
      </c>
      <c r="J55" s="8">
        <f t="shared" si="38"/>
        <v>49800</v>
      </c>
      <c r="K55" s="8">
        <f t="shared" si="38"/>
        <v>47300</v>
      </c>
      <c r="L55" s="8">
        <f t="shared" si="38"/>
        <v>6500</v>
      </c>
      <c r="M55" s="8">
        <f t="shared" si="38"/>
        <v>10400</v>
      </c>
      <c r="N55" s="8">
        <f t="shared" si="38"/>
        <v>400</v>
      </c>
      <c r="O55" s="8">
        <f t="shared" si="38"/>
        <v>15000</v>
      </c>
      <c r="P55" s="8">
        <f t="shared" si="38"/>
        <v>17600</v>
      </c>
      <c r="Q55" s="8">
        <f t="shared" si="38"/>
        <v>6950</v>
      </c>
      <c r="R55" s="8">
        <f t="shared" si="38"/>
        <v>3000</v>
      </c>
      <c r="S55" s="8">
        <f t="shared" si="38"/>
        <v>4800</v>
      </c>
      <c r="T55" s="8">
        <f t="shared" si="38"/>
        <v>5400</v>
      </c>
      <c r="U55" s="8">
        <f t="shared" si="38"/>
        <v>4500</v>
      </c>
      <c r="V55" s="8">
        <f t="shared" si="38"/>
        <v>6000</v>
      </c>
      <c r="W55" s="8">
        <f t="shared" si="38"/>
        <v>8400</v>
      </c>
      <c r="X55" s="30">
        <f t="shared" si="2"/>
        <v>272650</v>
      </c>
      <c r="Y55" s="31"/>
    </row>
    <row r="56" spans="1:25">
      <c r="A56" s="5" t="s">
        <v>117</v>
      </c>
      <c r="B56" s="6" t="s">
        <v>296</v>
      </c>
      <c r="C56" s="6" t="s">
        <v>27</v>
      </c>
      <c r="D56" s="7" t="s">
        <v>20</v>
      </c>
      <c r="E56" s="8">
        <f t="shared" ref="E56:W56" si="39">E57</f>
        <v>27200</v>
      </c>
      <c r="F56" s="8">
        <f t="shared" si="39"/>
        <v>25200</v>
      </c>
      <c r="G56" s="8">
        <f t="shared" si="39"/>
        <v>400</v>
      </c>
      <c r="H56" s="8">
        <f t="shared" si="39"/>
        <v>400</v>
      </c>
      <c r="I56" s="8">
        <f t="shared" si="39"/>
        <v>0</v>
      </c>
      <c r="J56" s="8">
        <f t="shared" si="39"/>
        <v>44800</v>
      </c>
      <c r="K56" s="8">
        <f t="shared" si="39"/>
        <v>42800</v>
      </c>
      <c r="L56" s="8">
        <f t="shared" si="39"/>
        <v>0</v>
      </c>
      <c r="M56" s="8">
        <f t="shared" si="39"/>
        <v>400</v>
      </c>
      <c r="N56" s="8">
        <f t="shared" si="39"/>
        <v>400</v>
      </c>
      <c r="O56" s="8">
        <f t="shared" si="39"/>
        <v>10000</v>
      </c>
      <c r="P56" s="8">
        <f t="shared" si="39"/>
        <v>9600</v>
      </c>
      <c r="Q56" s="8">
        <f t="shared" si="39"/>
        <v>800</v>
      </c>
      <c r="R56" s="8">
        <f t="shared" si="39"/>
        <v>0</v>
      </c>
      <c r="S56" s="8">
        <f t="shared" si="39"/>
        <v>0</v>
      </c>
      <c r="T56" s="8">
        <f t="shared" si="39"/>
        <v>400</v>
      </c>
      <c r="U56" s="8">
        <f t="shared" si="39"/>
        <v>0</v>
      </c>
      <c r="V56" s="8">
        <f t="shared" si="39"/>
        <v>0</v>
      </c>
      <c r="W56" s="8">
        <f t="shared" si="39"/>
        <v>7200</v>
      </c>
      <c r="X56" s="30">
        <f t="shared" si="2"/>
        <v>169600</v>
      </c>
      <c r="Y56" s="31"/>
    </row>
    <row r="57" spans="1:25" ht="45">
      <c r="A57" s="5" t="s">
        <v>118</v>
      </c>
      <c r="B57" s="6" t="s">
        <v>119</v>
      </c>
      <c r="C57" s="6" t="s">
        <v>27</v>
      </c>
      <c r="D57" s="11" t="s">
        <v>297</v>
      </c>
      <c r="E57" s="8">
        <f t="shared" ref="E57:W57" si="40">E72*400</f>
        <v>27200</v>
      </c>
      <c r="F57" s="8">
        <f t="shared" si="40"/>
        <v>25200</v>
      </c>
      <c r="G57" s="8">
        <f t="shared" si="40"/>
        <v>400</v>
      </c>
      <c r="H57" s="8">
        <f t="shared" si="40"/>
        <v>400</v>
      </c>
      <c r="I57" s="8">
        <f t="shared" si="40"/>
        <v>0</v>
      </c>
      <c r="J57" s="8">
        <f t="shared" si="40"/>
        <v>44800</v>
      </c>
      <c r="K57" s="8">
        <f t="shared" si="40"/>
        <v>42800</v>
      </c>
      <c r="L57" s="8">
        <f t="shared" si="40"/>
        <v>0</v>
      </c>
      <c r="M57" s="8">
        <f t="shared" si="40"/>
        <v>400</v>
      </c>
      <c r="N57" s="8">
        <f t="shared" si="40"/>
        <v>400</v>
      </c>
      <c r="O57" s="8">
        <f t="shared" si="40"/>
        <v>10000</v>
      </c>
      <c r="P57" s="8">
        <f t="shared" si="40"/>
        <v>9600</v>
      </c>
      <c r="Q57" s="8">
        <f t="shared" si="40"/>
        <v>800</v>
      </c>
      <c r="R57" s="8">
        <f t="shared" si="40"/>
        <v>0</v>
      </c>
      <c r="S57" s="8">
        <f t="shared" si="40"/>
        <v>0</v>
      </c>
      <c r="T57" s="8">
        <f t="shared" si="40"/>
        <v>400</v>
      </c>
      <c r="U57" s="8">
        <f t="shared" si="40"/>
        <v>0</v>
      </c>
      <c r="V57" s="8">
        <f t="shared" si="40"/>
        <v>0</v>
      </c>
      <c r="W57" s="8">
        <f t="shared" si="40"/>
        <v>7200</v>
      </c>
      <c r="X57" s="30">
        <f t="shared" si="2"/>
        <v>169600</v>
      </c>
      <c r="Y57" s="31"/>
    </row>
    <row r="58" spans="1:25">
      <c r="A58" s="5" t="s">
        <v>120</v>
      </c>
      <c r="B58" s="6" t="s">
        <v>298</v>
      </c>
      <c r="C58" s="6" t="s">
        <v>27</v>
      </c>
      <c r="D58" s="11" t="s">
        <v>121</v>
      </c>
      <c r="E58" s="12">
        <f>9*50*12</f>
        <v>5400</v>
      </c>
      <c r="F58" s="12"/>
      <c r="G58" s="12">
        <v>10000</v>
      </c>
      <c r="H58" s="12">
        <v>8000</v>
      </c>
      <c r="I58" s="12">
        <v>10000</v>
      </c>
      <c r="J58" s="12">
        <v>5000</v>
      </c>
      <c r="K58" s="12">
        <v>4500</v>
      </c>
      <c r="L58" s="12">
        <v>6500</v>
      </c>
      <c r="M58" s="12">
        <v>10000</v>
      </c>
      <c r="N58" s="12"/>
      <c r="O58" s="12">
        <v>5000</v>
      </c>
      <c r="P58" s="12">
        <v>8000</v>
      </c>
      <c r="Q58" s="12">
        <v>6150</v>
      </c>
      <c r="R58" s="12">
        <v>3000</v>
      </c>
      <c r="S58" s="12">
        <v>4800</v>
      </c>
      <c r="T58" s="12">
        <v>5000</v>
      </c>
      <c r="U58" s="12">
        <v>4500</v>
      </c>
      <c r="V58" s="12">
        <v>6000</v>
      </c>
      <c r="W58" s="12">
        <v>1200</v>
      </c>
      <c r="X58" s="30">
        <f t="shared" si="2"/>
        <v>103050</v>
      </c>
      <c r="Y58" s="31"/>
    </row>
    <row r="59" spans="1:25">
      <c r="A59" s="5" t="s">
        <v>122</v>
      </c>
      <c r="B59" s="6" t="s">
        <v>299</v>
      </c>
      <c r="C59" s="6"/>
      <c r="D59" s="7" t="s">
        <v>20</v>
      </c>
      <c r="E59" s="8">
        <f t="shared" ref="E59:W59" si="41">E60</f>
        <v>0</v>
      </c>
      <c r="F59" s="8">
        <f t="shared" si="41"/>
        <v>0</v>
      </c>
      <c r="G59" s="8">
        <f t="shared" si="41"/>
        <v>32000</v>
      </c>
      <c r="H59" s="8">
        <f t="shared" si="41"/>
        <v>32000</v>
      </c>
      <c r="I59" s="8">
        <f t="shared" si="41"/>
        <v>0</v>
      </c>
      <c r="J59" s="8">
        <f t="shared" si="41"/>
        <v>10000</v>
      </c>
      <c r="K59" s="8">
        <f t="shared" si="41"/>
        <v>0</v>
      </c>
      <c r="L59" s="8">
        <f t="shared" si="41"/>
        <v>32000</v>
      </c>
      <c r="M59" s="8">
        <f t="shared" si="41"/>
        <v>32000</v>
      </c>
      <c r="N59" s="8">
        <f t="shared" si="41"/>
        <v>32000</v>
      </c>
      <c r="O59" s="8">
        <f t="shared" si="41"/>
        <v>5000</v>
      </c>
      <c r="P59" s="8">
        <f t="shared" si="41"/>
        <v>5000</v>
      </c>
      <c r="Q59" s="8">
        <f t="shared" si="41"/>
        <v>32000</v>
      </c>
      <c r="R59" s="8">
        <f t="shared" si="41"/>
        <v>32000</v>
      </c>
      <c r="S59" s="8">
        <f t="shared" si="41"/>
        <v>32000</v>
      </c>
      <c r="T59" s="8">
        <f t="shared" si="41"/>
        <v>32000</v>
      </c>
      <c r="U59" s="8">
        <f t="shared" si="41"/>
        <v>32000</v>
      </c>
      <c r="V59" s="8">
        <f t="shared" si="41"/>
        <v>32000</v>
      </c>
      <c r="W59" s="8">
        <f t="shared" si="41"/>
        <v>0</v>
      </c>
      <c r="X59" s="30">
        <f t="shared" si="2"/>
        <v>372000</v>
      </c>
      <c r="Y59" s="31"/>
    </row>
    <row r="60" spans="1:25" ht="135.75" thickBot="1">
      <c r="A60" s="5" t="s">
        <v>123</v>
      </c>
      <c r="B60" s="13" t="s">
        <v>124</v>
      </c>
      <c r="C60" s="6" t="s">
        <v>27</v>
      </c>
      <c r="D60" s="14" t="s">
        <v>300</v>
      </c>
      <c r="E60" s="2"/>
      <c r="F60" s="2"/>
      <c r="G60" s="2">
        <v>32000</v>
      </c>
      <c r="H60" s="2">
        <v>32000</v>
      </c>
      <c r="I60" s="2"/>
      <c r="J60" s="2">
        <v>10000</v>
      </c>
      <c r="K60" s="2"/>
      <c r="L60" s="2">
        <v>32000</v>
      </c>
      <c r="M60" s="2">
        <v>32000</v>
      </c>
      <c r="N60" s="2">
        <v>32000</v>
      </c>
      <c r="O60" s="2">
        <v>5000</v>
      </c>
      <c r="P60" s="2">
        <v>5000</v>
      </c>
      <c r="Q60" s="2">
        <v>32000</v>
      </c>
      <c r="R60" s="2">
        <v>32000</v>
      </c>
      <c r="S60" s="2">
        <v>32000</v>
      </c>
      <c r="T60" s="2">
        <v>32000</v>
      </c>
      <c r="U60" s="2">
        <v>32000</v>
      </c>
      <c r="V60" s="2">
        <v>32000</v>
      </c>
      <c r="W60" s="2"/>
      <c r="X60" s="30">
        <f t="shared" si="2"/>
        <v>372000</v>
      </c>
      <c r="Y60" s="31"/>
    </row>
    <row r="61" spans="1:25" ht="14.25" thickTop="1">
      <c r="A61" s="5" t="s">
        <v>125</v>
      </c>
      <c r="B61" s="16" t="s">
        <v>126</v>
      </c>
      <c r="C61" s="16"/>
      <c r="D61" s="17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30">
        <f t="shared" si="2"/>
        <v>0</v>
      </c>
      <c r="Y61" s="31"/>
    </row>
    <row r="62" spans="1:25" ht="33.75">
      <c r="A62" s="5" t="s">
        <v>127</v>
      </c>
      <c r="B62" s="6" t="s">
        <v>128</v>
      </c>
      <c r="C62" s="6"/>
      <c r="D62" s="7" t="s">
        <v>301</v>
      </c>
      <c r="E62" s="8">
        <f t="shared" ref="E62:W62" si="42">E63+E64+E65+E66</f>
        <v>79</v>
      </c>
      <c r="F62" s="8">
        <f t="shared" si="42"/>
        <v>78</v>
      </c>
      <c r="G62" s="8">
        <f t="shared" si="42"/>
        <v>97</v>
      </c>
      <c r="H62" s="8">
        <f t="shared" si="42"/>
        <v>90</v>
      </c>
      <c r="I62" s="8">
        <f t="shared" si="42"/>
        <v>57</v>
      </c>
      <c r="J62" s="8">
        <f t="shared" si="42"/>
        <v>91</v>
      </c>
      <c r="K62" s="8">
        <f t="shared" si="42"/>
        <v>70</v>
      </c>
      <c r="L62" s="8">
        <f t="shared" si="42"/>
        <v>68</v>
      </c>
      <c r="M62" s="8">
        <f t="shared" si="42"/>
        <v>87</v>
      </c>
      <c r="N62" s="8">
        <f t="shared" si="42"/>
        <v>67</v>
      </c>
      <c r="O62" s="8">
        <f t="shared" si="42"/>
        <v>56</v>
      </c>
      <c r="P62" s="8">
        <f t="shared" si="42"/>
        <v>58</v>
      </c>
      <c r="Q62" s="8">
        <f t="shared" si="42"/>
        <v>57</v>
      </c>
      <c r="R62" s="8">
        <f t="shared" si="42"/>
        <v>22</v>
      </c>
      <c r="S62" s="8">
        <f t="shared" si="42"/>
        <v>31</v>
      </c>
      <c r="T62" s="8">
        <f t="shared" si="42"/>
        <v>27</v>
      </c>
      <c r="U62" s="8">
        <f t="shared" si="42"/>
        <v>38</v>
      </c>
      <c r="V62" s="8">
        <f t="shared" si="42"/>
        <v>41</v>
      </c>
      <c r="W62" s="8">
        <f t="shared" si="42"/>
        <v>6</v>
      </c>
      <c r="X62" s="30">
        <f t="shared" si="2"/>
        <v>1120</v>
      </c>
      <c r="Y62" s="31"/>
    </row>
    <row r="63" spans="1:25">
      <c r="A63" s="5" t="s">
        <v>129</v>
      </c>
      <c r="B63" s="20" t="s">
        <v>130</v>
      </c>
      <c r="C63" s="20"/>
      <c r="D63" s="7"/>
      <c r="E63" s="9">
        <v>79</v>
      </c>
      <c r="F63" s="9">
        <v>78</v>
      </c>
      <c r="G63" s="9">
        <v>51</v>
      </c>
      <c r="H63" s="9">
        <v>90</v>
      </c>
      <c r="I63" s="9">
        <v>57</v>
      </c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30">
        <f t="shared" si="2"/>
        <v>355</v>
      </c>
      <c r="Y63" s="31"/>
    </row>
    <row r="64" spans="1:25">
      <c r="A64" s="5" t="s">
        <v>131</v>
      </c>
      <c r="B64" s="20" t="s">
        <v>132</v>
      </c>
      <c r="C64" s="20"/>
      <c r="D64" s="7"/>
      <c r="E64" s="9"/>
      <c r="F64" s="9"/>
      <c r="G64" s="9">
        <v>46</v>
      </c>
      <c r="H64" s="9"/>
      <c r="I64" s="9"/>
      <c r="J64" s="9">
        <v>91</v>
      </c>
      <c r="K64" s="9">
        <v>70</v>
      </c>
      <c r="L64" s="9">
        <v>68</v>
      </c>
      <c r="M64" s="9">
        <v>87</v>
      </c>
      <c r="N64" s="9">
        <v>67</v>
      </c>
      <c r="O64" s="9"/>
      <c r="P64" s="9"/>
      <c r="Q64" s="9"/>
      <c r="R64" s="9"/>
      <c r="S64" s="9"/>
      <c r="T64" s="9"/>
      <c r="U64" s="9"/>
      <c r="V64" s="9"/>
      <c r="W64" s="9"/>
      <c r="X64" s="30">
        <f t="shared" si="2"/>
        <v>429</v>
      </c>
      <c r="Y64" s="31"/>
    </row>
    <row r="65" spans="1:25">
      <c r="A65" s="5" t="s">
        <v>133</v>
      </c>
      <c r="B65" s="20" t="s">
        <v>134</v>
      </c>
      <c r="C65" s="20"/>
      <c r="D65" s="7"/>
      <c r="E65" s="9"/>
      <c r="F65" s="9"/>
      <c r="G65" s="9"/>
      <c r="H65" s="9"/>
      <c r="I65" s="9"/>
      <c r="J65" s="9"/>
      <c r="K65" s="9"/>
      <c r="L65" s="9"/>
      <c r="M65" s="9"/>
      <c r="N65" s="9"/>
      <c r="O65" s="9">
        <v>56</v>
      </c>
      <c r="P65" s="9">
        <v>58</v>
      </c>
      <c r="Q65" s="9">
        <v>57</v>
      </c>
      <c r="R65" s="9">
        <v>22</v>
      </c>
      <c r="S65" s="9">
        <v>31</v>
      </c>
      <c r="T65" s="9">
        <v>27</v>
      </c>
      <c r="U65" s="9">
        <v>38</v>
      </c>
      <c r="V65" s="9">
        <v>41</v>
      </c>
      <c r="W65" s="9"/>
      <c r="X65" s="30">
        <f t="shared" si="2"/>
        <v>330</v>
      </c>
      <c r="Y65" s="31"/>
    </row>
    <row r="66" spans="1:25">
      <c r="A66" s="5" t="s">
        <v>135</v>
      </c>
      <c r="B66" s="20" t="s">
        <v>136</v>
      </c>
      <c r="C66" s="20"/>
      <c r="D66" s="7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>
        <v>6</v>
      </c>
      <c r="X66" s="30">
        <f t="shared" si="2"/>
        <v>6</v>
      </c>
      <c r="Y66" s="31"/>
    </row>
    <row r="67" spans="1:25" ht="56.25">
      <c r="A67" s="5" t="s">
        <v>137</v>
      </c>
      <c r="B67" s="6" t="s">
        <v>138</v>
      </c>
      <c r="C67" s="6"/>
      <c r="D67" s="7" t="s">
        <v>302</v>
      </c>
      <c r="E67" s="8">
        <f t="shared" ref="E67:W67" si="43">E68+E69+E70+E71</f>
        <v>1248</v>
      </c>
      <c r="F67" s="8">
        <f t="shared" si="43"/>
        <v>1142</v>
      </c>
      <c r="G67" s="8">
        <f t="shared" si="43"/>
        <v>1363</v>
      </c>
      <c r="H67" s="8">
        <f t="shared" si="43"/>
        <v>1650</v>
      </c>
      <c r="I67" s="8">
        <f t="shared" si="43"/>
        <v>982</v>
      </c>
      <c r="J67" s="8">
        <f t="shared" si="43"/>
        <v>1751</v>
      </c>
      <c r="K67" s="8">
        <f t="shared" si="43"/>
        <v>1283</v>
      </c>
      <c r="L67" s="8">
        <f t="shared" si="43"/>
        <v>1816</v>
      </c>
      <c r="M67" s="8">
        <f t="shared" si="43"/>
        <v>1412</v>
      </c>
      <c r="N67" s="8">
        <f t="shared" si="43"/>
        <v>1233</v>
      </c>
      <c r="O67" s="8">
        <f t="shared" si="43"/>
        <v>616</v>
      </c>
      <c r="P67" s="8">
        <f t="shared" si="43"/>
        <v>814</v>
      </c>
      <c r="Q67" s="8">
        <f t="shared" si="43"/>
        <v>677</v>
      </c>
      <c r="R67" s="8">
        <f t="shared" si="43"/>
        <v>312</v>
      </c>
      <c r="S67" s="8">
        <f t="shared" si="43"/>
        <v>526</v>
      </c>
      <c r="T67" s="8">
        <f t="shared" si="43"/>
        <v>472</v>
      </c>
      <c r="U67" s="8">
        <f t="shared" si="43"/>
        <v>514</v>
      </c>
      <c r="V67" s="8">
        <f t="shared" si="43"/>
        <v>697</v>
      </c>
      <c r="W67" s="8">
        <f t="shared" si="43"/>
        <v>0</v>
      </c>
      <c r="X67" s="30">
        <f t="shared" si="2"/>
        <v>18508</v>
      </c>
      <c r="Y67" s="31"/>
    </row>
    <row r="68" spans="1:25">
      <c r="A68" s="5" t="s">
        <v>139</v>
      </c>
      <c r="B68" s="20" t="s">
        <v>130</v>
      </c>
      <c r="C68" s="20"/>
      <c r="D68" s="7"/>
      <c r="E68" s="9">
        <v>1248</v>
      </c>
      <c r="F68" s="9">
        <v>1142</v>
      </c>
      <c r="G68" s="9">
        <v>559</v>
      </c>
      <c r="H68" s="9">
        <v>1650</v>
      </c>
      <c r="I68" s="9">
        <v>982</v>
      </c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30">
        <f t="shared" si="2"/>
        <v>5581</v>
      </c>
      <c r="Y68" s="31"/>
    </row>
    <row r="69" spans="1:25">
      <c r="A69" s="5" t="s">
        <v>140</v>
      </c>
      <c r="B69" s="20" t="s">
        <v>132</v>
      </c>
      <c r="C69" s="20"/>
      <c r="D69" s="7"/>
      <c r="E69" s="9"/>
      <c r="F69" s="9"/>
      <c r="G69" s="9">
        <v>804</v>
      </c>
      <c r="H69" s="9"/>
      <c r="I69" s="9"/>
      <c r="J69" s="9">
        <v>1751</v>
      </c>
      <c r="K69" s="9">
        <v>1283</v>
      </c>
      <c r="L69" s="9">
        <v>1816</v>
      </c>
      <c r="M69" s="9">
        <v>1412</v>
      </c>
      <c r="N69" s="9">
        <v>1233</v>
      </c>
      <c r="O69" s="9"/>
      <c r="P69" s="9"/>
      <c r="Q69" s="9"/>
      <c r="R69" s="9"/>
      <c r="S69" s="9"/>
      <c r="T69" s="9"/>
      <c r="U69" s="9"/>
      <c r="V69" s="9"/>
      <c r="W69" s="9"/>
      <c r="X69" s="30">
        <f t="shared" ref="X69:X74" si="44">SUM(E69:W69)</f>
        <v>8299</v>
      </c>
      <c r="Y69" s="31"/>
    </row>
    <row r="70" spans="1:25">
      <c r="A70" s="5" t="s">
        <v>141</v>
      </c>
      <c r="B70" s="20" t="s">
        <v>134</v>
      </c>
      <c r="C70" s="20"/>
      <c r="D70" s="7"/>
      <c r="E70" s="9"/>
      <c r="F70" s="9"/>
      <c r="G70" s="9"/>
      <c r="H70" s="9"/>
      <c r="I70" s="9"/>
      <c r="J70" s="9"/>
      <c r="K70" s="9"/>
      <c r="L70" s="9"/>
      <c r="M70" s="9"/>
      <c r="N70" s="9"/>
      <c r="O70" s="9">
        <v>616</v>
      </c>
      <c r="P70" s="9">
        <v>814</v>
      </c>
      <c r="Q70" s="9">
        <v>677</v>
      </c>
      <c r="R70" s="9">
        <v>312</v>
      </c>
      <c r="S70" s="9">
        <v>526</v>
      </c>
      <c r="T70" s="9">
        <v>472</v>
      </c>
      <c r="U70" s="9">
        <v>514</v>
      </c>
      <c r="V70" s="9">
        <v>697</v>
      </c>
      <c r="W70" s="9"/>
      <c r="X70" s="30">
        <f t="shared" si="44"/>
        <v>4628</v>
      </c>
      <c r="Y70" s="31"/>
    </row>
    <row r="71" spans="1:25">
      <c r="A71" s="5" t="s">
        <v>142</v>
      </c>
      <c r="B71" s="20" t="s">
        <v>136</v>
      </c>
      <c r="C71" s="20"/>
      <c r="D71" s="7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30">
        <f t="shared" si="44"/>
        <v>0</v>
      </c>
      <c r="Y71" s="31"/>
    </row>
    <row r="72" spans="1:25">
      <c r="A72" s="5" t="s">
        <v>143</v>
      </c>
      <c r="B72" s="6" t="s">
        <v>303</v>
      </c>
      <c r="C72" s="6"/>
      <c r="D72" s="7"/>
      <c r="E72" s="9">
        <v>68</v>
      </c>
      <c r="F72" s="9">
        <v>63</v>
      </c>
      <c r="G72" s="9">
        <v>1</v>
      </c>
      <c r="H72" s="9">
        <v>1</v>
      </c>
      <c r="I72" s="9"/>
      <c r="J72" s="9">
        <v>112</v>
      </c>
      <c r="K72" s="9">
        <v>107</v>
      </c>
      <c r="L72" s="9"/>
      <c r="M72" s="9">
        <v>1</v>
      </c>
      <c r="N72" s="9">
        <v>1</v>
      </c>
      <c r="O72" s="9">
        <v>25</v>
      </c>
      <c r="P72" s="9">
        <v>24</v>
      </c>
      <c r="Q72" s="9">
        <v>2</v>
      </c>
      <c r="R72" s="9">
        <v>0</v>
      </c>
      <c r="S72" s="9"/>
      <c r="T72" s="9">
        <v>1</v>
      </c>
      <c r="U72" s="9">
        <v>0</v>
      </c>
      <c r="V72" s="9"/>
      <c r="W72" s="9">
        <v>18</v>
      </c>
      <c r="X72" s="30">
        <f t="shared" si="44"/>
        <v>424</v>
      </c>
      <c r="Y72" s="31"/>
    </row>
    <row r="73" spans="1:25">
      <c r="A73" s="5" t="s">
        <v>144</v>
      </c>
      <c r="B73" s="20" t="s">
        <v>304</v>
      </c>
      <c r="C73" s="20"/>
      <c r="D73" s="11"/>
      <c r="E73" s="9">
        <v>17063</v>
      </c>
      <c r="F73" s="9">
        <v>11923</v>
      </c>
      <c r="G73" s="9">
        <v>47723.69</v>
      </c>
      <c r="H73" s="9">
        <v>18481.39</v>
      </c>
      <c r="I73" s="9">
        <v>15865.86</v>
      </c>
      <c r="J73" s="9">
        <v>23546.35</v>
      </c>
      <c r="K73" s="9">
        <v>16490.189999999999</v>
      </c>
      <c r="L73" s="9">
        <v>16648.97</v>
      </c>
      <c r="M73" s="9">
        <v>22433.4</v>
      </c>
      <c r="N73" s="9">
        <v>11914.29</v>
      </c>
      <c r="O73" s="9">
        <v>7654.77</v>
      </c>
      <c r="P73" s="9">
        <v>12113.78</v>
      </c>
      <c r="Q73" s="32">
        <v>10438.120000000001</v>
      </c>
      <c r="R73" s="9">
        <v>6080</v>
      </c>
      <c r="S73" s="9">
        <v>11516.55</v>
      </c>
      <c r="T73" s="9">
        <v>11939.6</v>
      </c>
      <c r="U73" s="9">
        <v>11290.94</v>
      </c>
      <c r="V73" s="9">
        <v>13520</v>
      </c>
      <c r="W73" s="9">
        <v>1578</v>
      </c>
      <c r="X73" s="30">
        <f t="shared" si="44"/>
        <v>288221.89999999997</v>
      </c>
      <c r="Y73" s="31"/>
    </row>
    <row r="74" spans="1:25">
      <c r="A74" s="5" t="s">
        <v>145</v>
      </c>
      <c r="B74" s="20" t="s">
        <v>305</v>
      </c>
      <c r="C74" s="20"/>
      <c r="D74" s="11"/>
      <c r="E74" s="9">
        <v>15829</v>
      </c>
      <c r="F74" s="9">
        <v>10360</v>
      </c>
      <c r="G74" s="9">
        <v>16263</v>
      </c>
      <c r="H74" s="9">
        <v>12617.6</v>
      </c>
      <c r="I74" s="9">
        <v>8547.4500000000007</v>
      </c>
      <c r="J74" s="9">
        <v>19712</v>
      </c>
      <c r="K74" s="9">
        <v>11160</v>
      </c>
      <c r="L74" s="9">
        <v>11125</v>
      </c>
      <c r="M74" s="9">
        <v>15700</v>
      </c>
      <c r="N74" s="9">
        <v>8447.1</v>
      </c>
      <c r="O74" s="9">
        <v>5134</v>
      </c>
      <c r="P74" s="9">
        <v>4330</v>
      </c>
      <c r="Q74" s="32">
        <v>4266</v>
      </c>
      <c r="R74" s="9">
        <v>2500</v>
      </c>
      <c r="S74" s="9">
        <v>5058.1000000000004</v>
      </c>
      <c r="T74" s="9">
        <v>4999</v>
      </c>
      <c r="U74" s="9">
        <v>4627.34</v>
      </c>
      <c r="V74" s="9">
        <v>5045</v>
      </c>
      <c r="W74" s="9">
        <v>625</v>
      </c>
      <c r="X74" s="30">
        <f t="shared" si="44"/>
        <v>166345.59000000003</v>
      </c>
      <c r="Y74" s="31"/>
    </row>
    <row r="75" spans="1:25">
      <c r="X75" s="3"/>
      <c r="Y75" s="3"/>
    </row>
  </sheetData>
  <protectedRanges>
    <protectedRange password="E9C1" sqref="P2 P4" name="区域1_1_1"/>
    <protectedRange password="E9C1" sqref="I2:I4" name="区域1_1_8"/>
    <protectedRange password="E9C1" sqref="L2 L4" name="区域1_1_12"/>
    <protectedRange password="E9C1" sqref="N2:N4" name="区域1_1_13"/>
    <protectedRange password="E9C1" sqref="V2 V4" name="区域1_1_15"/>
    <protectedRange password="E9C1" sqref="T2 T4" name="区域1_1_16"/>
    <protectedRange password="E9C1" sqref="M2 M4" name="区域1_1_17"/>
    <protectedRange password="E9C1" sqref="G2:G4" name="区域1_1_18"/>
    <protectedRange password="E9C1" sqref="W2:W4" name="区域1_1_20"/>
    <protectedRange password="E9C1" sqref="K2 K4" name="区域1_1_21"/>
    <protectedRange password="E9C1" sqref="J2:J4 K3:M3" name="区域1_1_2"/>
    <protectedRange password="E9C1" sqref="O2:O4 P3:V3" name="区域1_1_4"/>
    <protectedRange password="E9C1" sqref="S2 S4" name="区域1_1_7"/>
    <protectedRange sqref="S2" name="区域1_1_2_1"/>
    <protectedRange password="E9C1" sqref="H2:H4" name="区域1_1_10"/>
    <protectedRange password="E9C1" sqref="F2:F4" name="区域1_1_23"/>
    <protectedRange password="E9C1" sqref="R2 R4" name="区域1_1"/>
    <protectedRange password="E9C1" sqref="E2:E4" name="区域1_1_3"/>
    <protectedRange password="E9C1" sqref="U2 U4" name="区域1_1_5"/>
    <protectedRange password="E9C1" sqref="Q2 Q4" name="区域1_1_9"/>
    <protectedRange password="E9C1" sqref="B14:B15" name="区域1_1_6"/>
  </protectedRanges>
  <mergeCells count="7">
    <mergeCell ref="A1:Y1"/>
    <mergeCell ref="A2:A3"/>
    <mergeCell ref="B2:B3"/>
    <mergeCell ref="C2:C3"/>
    <mergeCell ref="D2:D3"/>
    <mergeCell ref="X2:X3"/>
    <mergeCell ref="Y2:Y3"/>
  </mergeCells>
  <phoneticPr fontId="2" type="noConversion"/>
  <pageMargins left="0.7" right="0.7" top="0.75" bottom="0.75" header="0.3" footer="0.3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V74"/>
  <sheetViews>
    <sheetView topLeftCell="C1" workbookViewId="0">
      <selection activeCell="C75" sqref="A75:XFD75"/>
    </sheetView>
  </sheetViews>
  <sheetFormatPr defaultRowHeight="11.25"/>
  <cols>
    <col min="1" max="1" width="9" style="21"/>
    <col min="2" max="2" width="14.25" style="3" customWidth="1"/>
    <col min="3" max="3" width="9" style="3"/>
    <col min="4" max="4" width="9" style="22"/>
    <col min="5" max="5" width="14.125" style="3" customWidth="1"/>
    <col min="6" max="6" width="11.875" style="3" customWidth="1"/>
    <col min="7" max="8" width="11.25" style="3" customWidth="1"/>
    <col min="9" max="9" width="11.625" style="3" customWidth="1"/>
    <col min="10" max="10" width="11.125" style="3" customWidth="1"/>
    <col min="11" max="11" width="11.625" style="3" customWidth="1"/>
    <col min="12" max="13" width="11.375" style="3" customWidth="1"/>
    <col min="14" max="14" width="13.125" style="3" customWidth="1"/>
    <col min="15" max="15" width="11.25" style="3" customWidth="1"/>
    <col min="16" max="16" width="11.5" style="3" customWidth="1"/>
    <col min="17" max="17" width="11.375" style="3" customWidth="1"/>
    <col min="18" max="18" width="10.625" style="3" customWidth="1"/>
    <col min="19" max="19" width="10.25" style="3" customWidth="1"/>
    <col min="20" max="20" width="10.875" style="3" customWidth="1"/>
    <col min="21" max="21" width="13" style="3" customWidth="1"/>
    <col min="22" max="16384" width="9" style="3"/>
  </cols>
  <sheetData>
    <row r="1" spans="1:22" ht="25.5">
      <c r="A1" s="92" t="s">
        <v>0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</row>
    <row r="2" spans="1:22">
      <c r="A2" s="93" t="s">
        <v>1</v>
      </c>
      <c r="B2" s="93" t="s">
        <v>2</v>
      </c>
      <c r="C2" s="93" t="s">
        <v>3</v>
      </c>
      <c r="D2" s="93" t="s">
        <v>4</v>
      </c>
      <c r="E2" s="23" t="s">
        <v>146</v>
      </c>
      <c r="F2" s="23" t="s">
        <v>147</v>
      </c>
      <c r="G2" s="23" t="s">
        <v>148</v>
      </c>
      <c r="H2" s="23" t="s">
        <v>149</v>
      </c>
      <c r="I2" s="23" t="s">
        <v>150</v>
      </c>
      <c r="J2" s="23" t="s">
        <v>151</v>
      </c>
      <c r="K2" s="23" t="s">
        <v>152</v>
      </c>
      <c r="L2" s="23" t="s">
        <v>153</v>
      </c>
      <c r="M2" s="23" t="s">
        <v>154</v>
      </c>
      <c r="N2" s="23" t="s">
        <v>155</v>
      </c>
      <c r="O2" s="23" t="s">
        <v>156</v>
      </c>
      <c r="P2" s="23" t="s">
        <v>157</v>
      </c>
      <c r="Q2" s="23" t="s">
        <v>158</v>
      </c>
      <c r="R2" s="23" t="s">
        <v>159</v>
      </c>
      <c r="S2" s="23" t="s">
        <v>160</v>
      </c>
      <c r="T2" s="23" t="s">
        <v>161</v>
      </c>
      <c r="U2" s="93" t="s">
        <v>16</v>
      </c>
      <c r="V2" s="93" t="s">
        <v>17</v>
      </c>
    </row>
    <row r="3" spans="1:22">
      <c r="A3" s="94"/>
      <c r="B3" s="94"/>
      <c r="C3" s="94"/>
      <c r="D3" s="94"/>
      <c r="E3" s="23" t="s">
        <v>162</v>
      </c>
      <c r="F3" s="23" t="s">
        <v>163</v>
      </c>
      <c r="G3" s="23" t="s">
        <v>163</v>
      </c>
      <c r="H3" s="23" t="s">
        <v>163</v>
      </c>
      <c r="I3" s="23" t="s">
        <v>164</v>
      </c>
      <c r="J3" s="23" t="s">
        <v>164</v>
      </c>
      <c r="K3" s="23" t="s">
        <v>164</v>
      </c>
      <c r="L3" s="23" t="s">
        <v>165</v>
      </c>
      <c r="M3" s="23" t="s">
        <v>165</v>
      </c>
      <c r="N3" s="23" t="s">
        <v>165</v>
      </c>
      <c r="O3" s="23" t="s">
        <v>165</v>
      </c>
      <c r="P3" s="23" t="s">
        <v>165</v>
      </c>
      <c r="Q3" s="23" t="s">
        <v>165</v>
      </c>
      <c r="R3" s="23" t="s">
        <v>165</v>
      </c>
      <c r="S3" s="23" t="s">
        <v>165</v>
      </c>
      <c r="T3" s="23" t="s">
        <v>166</v>
      </c>
      <c r="U3" s="94"/>
      <c r="V3" s="94"/>
    </row>
    <row r="4" spans="1:22" ht="12">
      <c r="A4" s="5" t="s">
        <v>18</v>
      </c>
      <c r="B4" s="6" t="s">
        <v>19</v>
      </c>
      <c r="C4" s="6"/>
      <c r="D4" s="7" t="s">
        <v>20</v>
      </c>
      <c r="E4" s="25">
        <f>E5+E32+E39</f>
        <v>55107198.82</v>
      </c>
      <c r="F4" s="25">
        <f t="shared" ref="F4:T4" si="0">F5+F32+F39</f>
        <v>33683908.200000003</v>
      </c>
      <c r="G4" s="25">
        <f t="shared" si="0"/>
        <v>33044191.149999999</v>
      </c>
      <c r="H4" s="25">
        <f t="shared" si="0"/>
        <v>42156588.93</v>
      </c>
      <c r="I4" s="25">
        <f t="shared" si="0"/>
        <v>28066571.779999997</v>
      </c>
      <c r="J4" s="25">
        <f t="shared" si="0"/>
        <v>26292884.669999998</v>
      </c>
      <c r="K4" s="25">
        <f t="shared" si="0"/>
        <v>48939177.799999997</v>
      </c>
      <c r="L4" s="25">
        <f t="shared" si="0"/>
        <v>20751577.23</v>
      </c>
      <c r="M4" s="25">
        <f t="shared" si="0"/>
        <v>14833403.619999999</v>
      </c>
      <c r="N4" s="25">
        <f t="shared" si="0"/>
        <v>26653897.369999997</v>
      </c>
      <c r="O4" s="25">
        <f t="shared" si="0"/>
        <v>16556017.9</v>
      </c>
      <c r="P4" s="25">
        <f t="shared" si="0"/>
        <v>16934975.330000002</v>
      </c>
      <c r="Q4" s="25">
        <f t="shared" si="0"/>
        <v>14516560.32</v>
      </c>
      <c r="R4" s="25">
        <f t="shared" si="0"/>
        <v>6996043.8499999996</v>
      </c>
      <c r="S4" s="25">
        <f t="shared" si="0"/>
        <v>5565914.5800000001</v>
      </c>
      <c r="T4" s="25">
        <f t="shared" si="0"/>
        <v>1836641.15</v>
      </c>
      <c r="U4" s="25">
        <f t="shared" ref="U4:U67" si="1">SUM(E4:T4)</f>
        <v>391935552.69999999</v>
      </c>
      <c r="V4" s="7"/>
    </row>
    <row r="5" spans="1:22" ht="12">
      <c r="A5" s="5" t="s">
        <v>21</v>
      </c>
      <c r="B5" s="6" t="s">
        <v>22</v>
      </c>
      <c r="C5" s="6"/>
      <c r="D5" s="7" t="s">
        <v>20</v>
      </c>
      <c r="E5" s="25">
        <f>E6+E9+E13+E16+E21+E26+E28+E30+E31</f>
        <v>43793644.560000002</v>
      </c>
      <c r="F5" s="25">
        <f t="shared" ref="F5:T5" si="2">F6+F9+F13+F16+F21+F26+F28+F30+F31</f>
        <v>27569536</v>
      </c>
      <c r="G5" s="25">
        <f t="shared" si="2"/>
        <v>26538200</v>
      </c>
      <c r="H5" s="25">
        <f t="shared" si="2"/>
        <v>35048839.439999998</v>
      </c>
      <c r="I5" s="25">
        <f t="shared" si="2"/>
        <v>22503637.149999999</v>
      </c>
      <c r="J5" s="25">
        <f t="shared" si="2"/>
        <v>22292594.849999998</v>
      </c>
      <c r="K5" s="25">
        <f t="shared" si="2"/>
        <v>40909120</v>
      </c>
      <c r="L5" s="25">
        <f t="shared" si="2"/>
        <v>17286443.440000001</v>
      </c>
      <c r="M5" s="25">
        <f t="shared" si="2"/>
        <v>12618980.559999999</v>
      </c>
      <c r="N5" s="25">
        <f t="shared" si="2"/>
        <v>22507314.849999998</v>
      </c>
      <c r="O5" s="25">
        <f t="shared" si="2"/>
        <v>14254520</v>
      </c>
      <c r="P5" s="25">
        <f t="shared" si="2"/>
        <v>14553229.150000002</v>
      </c>
      <c r="Q5" s="25">
        <f t="shared" si="2"/>
        <v>12531258.960000001</v>
      </c>
      <c r="R5" s="25">
        <f t="shared" si="2"/>
        <v>5837529.71</v>
      </c>
      <c r="S5" s="25">
        <f t="shared" si="2"/>
        <v>4411641.1500000004</v>
      </c>
      <c r="T5" s="25">
        <f t="shared" si="2"/>
        <v>1571218.2899999998</v>
      </c>
      <c r="U5" s="25">
        <f t="shared" si="1"/>
        <v>324227708.10999995</v>
      </c>
      <c r="V5" s="7"/>
    </row>
    <row r="6" spans="1:22" ht="12">
      <c r="A6" s="5" t="s">
        <v>23</v>
      </c>
      <c r="B6" s="6" t="s">
        <v>24</v>
      </c>
      <c r="C6" s="6"/>
      <c r="D6" s="7" t="s">
        <v>20</v>
      </c>
      <c r="E6" s="25">
        <f>E7+E8</f>
        <v>6761568</v>
      </c>
      <c r="F6" s="25">
        <f t="shared" ref="F6:T6" si="3">F7+F8</f>
        <v>4050708</v>
      </c>
      <c r="G6" s="25">
        <f t="shared" si="3"/>
        <v>3908736</v>
      </c>
      <c r="H6" s="25">
        <f t="shared" si="3"/>
        <v>4690392</v>
      </c>
      <c r="I6" s="25">
        <f t="shared" si="3"/>
        <v>3870312</v>
      </c>
      <c r="J6" s="25">
        <f t="shared" si="3"/>
        <v>3321972</v>
      </c>
      <c r="K6" s="25">
        <f t="shared" si="3"/>
        <v>5805180</v>
      </c>
      <c r="L6" s="25">
        <f t="shared" si="3"/>
        <v>2851608</v>
      </c>
      <c r="M6" s="25">
        <f t="shared" si="3"/>
        <v>2141904</v>
      </c>
      <c r="N6" s="25">
        <f t="shared" si="3"/>
        <v>3512628</v>
      </c>
      <c r="O6" s="25">
        <f t="shared" si="3"/>
        <v>2263296</v>
      </c>
      <c r="P6" s="25">
        <f t="shared" si="3"/>
        <v>2187960</v>
      </c>
      <c r="Q6" s="25">
        <f t="shared" si="3"/>
        <v>1962388.8</v>
      </c>
      <c r="R6" s="25">
        <f t="shared" si="3"/>
        <v>899100</v>
      </c>
      <c r="S6" s="25">
        <f t="shared" si="3"/>
        <v>653724</v>
      </c>
      <c r="T6" s="25">
        <f t="shared" si="3"/>
        <v>231324</v>
      </c>
      <c r="U6" s="25">
        <f t="shared" si="1"/>
        <v>49112800.799999997</v>
      </c>
      <c r="V6" s="7"/>
    </row>
    <row r="7" spans="1:22" ht="22.5">
      <c r="A7" s="5" t="s">
        <v>25</v>
      </c>
      <c r="B7" s="6" t="s">
        <v>26</v>
      </c>
      <c r="C7" s="6" t="s">
        <v>27</v>
      </c>
      <c r="D7" s="7" t="s">
        <v>28</v>
      </c>
      <c r="E7" s="24">
        <v>3513204</v>
      </c>
      <c r="F7" s="24">
        <v>2224284</v>
      </c>
      <c r="G7" s="24">
        <v>2195976</v>
      </c>
      <c r="H7" s="24">
        <v>2951064</v>
      </c>
      <c r="I7" s="24">
        <v>1789620</v>
      </c>
      <c r="J7" s="24">
        <v>1806672</v>
      </c>
      <c r="K7" s="24">
        <v>3346404</v>
      </c>
      <c r="L7" s="24">
        <v>1573116</v>
      </c>
      <c r="M7" s="24">
        <v>1137288</v>
      </c>
      <c r="N7" s="24">
        <v>2037912</v>
      </c>
      <c r="O7" s="24">
        <v>1322604</v>
      </c>
      <c r="P7" s="24">
        <v>1286184</v>
      </c>
      <c r="Q7" s="24">
        <v>1142724</v>
      </c>
      <c r="R7" s="24">
        <v>521004</v>
      </c>
      <c r="S7" s="24">
        <v>400536</v>
      </c>
      <c r="T7" s="24">
        <v>129504</v>
      </c>
      <c r="U7" s="25">
        <f t="shared" si="1"/>
        <v>27378096</v>
      </c>
      <c r="V7" s="10"/>
    </row>
    <row r="8" spans="1:22" ht="22.5">
      <c r="A8" s="5" t="s">
        <v>29</v>
      </c>
      <c r="B8" s="6" t="s">
        <v>30</v>
      </c>
      <c r="C8" s="6" t="s">
        <v>27</v>
      </c>
      <c r="D8" s="7" t="s">
        <v>28</v>
      </c>
      <c r="E8" s="24">
        <v>3248364</v>
      </c>
      <c r="F8" s="24">
        <v>1826424</v>
      </c>
      <c r="G8" s="24">
        <v>1712760</v>
      </c>
      <c r="H8" s="24">
        <v>1739328</v>
      </c>
      <c r="I8" s="24">
        <v>2080692</v>
      </c>
      <c r="J8" s="24">
        <v>1515300</v>
      </c>
      <c r="K8" s="24">
        <v>2458776</v>
      </c>
      <c r="L8" s="24">
        <v>1278492</v>
      </c>
      <c r="M8" s="24">
        <v>1004616</v>
      </c>
      <c r="N8" s="24">
        <v>1474716</v>
      </c>
      <c r="O8" s="24">
        <v>940692</v>
      </c>
      <c r="P8" s="24">
        <v>901776</v>
      </c>
      <c r="Q8" s="24">
        <v>819664.8</v>
      </c>
      <c r="R8" s="24">
        <v>378096</v>
      </c>
      <c r="S8" s="24">
        <v>253188</v>
      </c>
      <c r="T8" s="24">
        <v>101820</v>
      </c>
      <c r="U8" s="25">
        <f t="shared" si="1"/>
        <v>21734704.800000001</v>
      </c>
      <c r="V8" s="7"/>
    </row>
    <row r="9" spans="1:22" ht="12">
      <c r="A9" s="5" t="s">
        <v>31</v>
      </c>
      <c r="B9" s="6" t="s">
        <v>32</v>
      </c>
      <c r="C9" s="6"/>
      <c r="D9" s="7" t="s">
        <v>20</v>
      </c>
      <c r="E9" s="25">
        <f>E10+E11</f>
        <v>626832</v>
      </c>
      <c r="F9" s="25">
        <f t="shared" ref="F9:T9" si="4">F10+F11</f>
        <v>379644</v>
      </c>
      <c r="G9" s="25">
        <f t="shared" si="4"/>
        <v>380136</v>
      </c>
      <c r="H9" s="25">
        <f t="shared" si="4"/>
        <v>506004</v>
      </c>
      <c r="I9" s="25">
        <f t="shared" si="4"/>
        <v>354696</v>
      </c>
      <c r="J9" s="25">
        <f t="shared" si="4"/>
        <v>326916</v>
      </c>
      <c r="K9" s="25">
        <f t="shared" si="4"/>
        <v>614016</v>
      </c>
      <c r="L9" s="25">
        <f t="shared" si="4"/>
        <v>284136</v>
      </c>
      <c r="M9" s="25">
        <f t="shared" si="4"/>
        <v>214572</v>
      </c>
      <c r="N9" s="25">
        <f t="shared" si="4"/>
        <v>379704</v>
      </c>
      <c r="O9" s="25">
        <f t="shared" si="4"/>
        <v>235524</v>
      </c>
      <c r="P9" s="25">
        <f t="shared" si="4"/>
        <v>240348</v>
      </c>
      <c r="Q9" s="25">
        <f t="shared" si="4"/>
        <v>227697.6</v>
      </c>
      <c r="R9" s="25">
        <f t="shared" si="4"/>
        <v>96120</v>
      </c>
      <c r="S9" s="25">
        <f t="shared" si="4"/>
        <v>74700</v>
      </c>
      <c r="T9" s="25">
        <f t="shared" si="4"/>
        <v>21480</v>
      </c>
      <c r="U9" s="25">
        <f t="shared" si="1"/>
        <v>4962525.5999999996</v>
      </c>
      <c r="V9" s="7"/>
    </row>
    <row r="10" spans="1:22" ht="22.5">
      <c r="A10" s="5" t="s">
        <v>33</v>
      </c>
      <c r="B10" s="6" t="s">
        <v>34</v>
      </c>
      <c r="C10" s="6" t="s">
        <v>27</v>
      </c>
      <c r="D10" s="7" t="s">
        <v>28</v>
      </c>
      <c r="E10" s="24">
        <v>9072</v>
      </c>
      <c r="F10" s="24">
        <v>4764</v>
      </c>
      <c r="G10" s="24">
        <v>5256</v>
      </c>
      <c r="H10" s="24">
        <v>4404</v>
      </c>
      <c r="I10" s="24">
        <v>6216</v>
      </c>
      <c r="J10" s="24">
        <v>4836</v>
      </c>
      <c r="K10" s="24">
        <v>6816</v>
      </c>
      <c r="L10" s="24">
        <v>4296</v>
      </c>
      <c r="M10" s="24">
        <v>3372</v>
      </c>
      <c r="N10" s="24">
        <v>4824</v>
      </c>
      <c r="O10" s="24">
        <v>3204</v>
      </c>
      <c r="P10" s="24">
        <v>2748</v>
      </c>
      <c r="Q10" s="24">
        <v>21777.599999999999</v>
      </c>
      <c r="R10" s="24">
        <v>1080</v>
      </c>
      <c r="S10" s="24">
        <v>780</v>
      </c>
      <c r="T10" s="24">
        <v>360</v>
      </c>
      <c r="U10" s="25">
        <f t="shared" si="1"/>
        <v>83805.600000000006</v>
      </c>
      <c r="V10" s="7"/>
    </row>
    <row r="11" spans="1:22" ht="12">
      <c r="A11" s="5" t="s">
        <v>35</v>
      </c>
      <c r="B11" s="6" t="s">
        <v>36</v>
      </c>
      <c r="C11" s="6"/>
      <c r="D11" s="7" t="s">
        <v>20</v>
      </c>
      <c r="E11" s="25">
        <f>E12</f>
        <v>617760</v>
      </c>
      <c r="F11" s="25">
        <f t="shared" ref="F11:T11" si="5">F12</f>
        <v>374880</v>
      </c>
      <c r="G11" s="25">
        <f t="shared" si="5"/>
        <v>374880</v>
      </c>
      <c r="H11" s="25">
        <f t="shared" si="5"/>
        <v>501600</v>
      </c>
      <c r="I11" s="25">
        <f t="shared" si="5"/>
        <v>348480</v>
      </c>
      <c r="J11" s="25">
        <f t="shared" si="5"/>
        <v>322080</v>
      </c>
      <c r="K11" s="25">
        <f t="shared" si="5"/>
        <v>607200</v>
      </c>
      <c r="L11" s="25">
        <f t="shared" si="5"/>
        <v>279840</v>
      </c>
      <c r="M11" s="25">
        <f t="shared" si="5"/>
        <v>211200</v>
      </c>
      <c r="N11" s="25">
        <f t="shared" si="5"/>
        <v>374880</v>
      </c>
      <c r="O11" s="25">
        <f t="shared" si="5"/>
        <v>232320</v>
      </c>
      <c r="P11" s="25">
        <f t="shared" si="5"/>
        <v>237600</v>
      </c>
      <c r="Q11" s="25">
        <f t="shared" si="5"/>
        <v>205920</v>
      </c>
      <c r="R11" s="25">
        <f t="shared" si="5"/>
        <v>95040</v>
      </c>
      <c r="S11" s="25">
        <f t="shared" si="5"/>
        <v>73920</v>
      </c>
      <c r="T11" s="25">
        <f t="shared" si="5"/>
        <v>21120</v>
      </c>
      <c r="U11" s="25">
        <f t="shared" si="1"/>
        <v>4878720</v>
      </c>
      <c r="V11" s="7"/>
    </row>
    <row r="12" spans="1:22" ht="12">
      <c r="A12" s="5" t="s">
        <v>37</v>
      </c>
      <c r="B12" s="6" t="s">
        <v>266</v>
      </c>
      <c r="C12" s="6" t="s">
        <v>27</v>
      </c>
      <c r="D12" s="7" t="s">
        <v>20</v>
      </c>
      <c r="E12" s="25">
        <f>440*12*E62</f>
        <v>617760</v>
      </c>
      <c r="F12" s="25">
        <f t="shared" ref="F12:T12" si="6">440*12*F62</f>
        <v>374880</v>
      </c>
      <c r="G12" s="25">
        <f t="shared" si="6"/>
        <v>374880</v>
      </c>
      <c r="H12" s="25">
        <f t="shared" si="6"/>
        <v>501600</v>
      </c>
      <c r="I12" s="25">
        <f t="shared" si="6"/>
        <v>348480</v>
      </c>
      <c r="J12" s="25">
        <f t="shared" si="6"/>
        <v>322080</v>
      </c>
      <c r="K12" s="25">
        <f t="shared" si="6"/>
        <v>607200</v>
      </c>
      <c r="L12" s="25">
        <f t="shared" si="6"/>
        <v>279840</v>
      </c>
      <c r="M12" s="25">
        <f t="shared" si="6"/>
        <v>211200</v>
      </c>
      <c r="N12" s="25">
        <f t="shared" si="6"/>
        <v>374880</v>
      </c>
      <c r="O12" s="25">
        <f t="shared" si="6"/>
        <v>232320</v>
      </c>
      <c r="P12" s="25">
        <f t="shared" si="6"/>
        <v>237600</v>
      </c>
      <c r="Q12" s="25">
        <f t="shared" si="6"/>
        <v>205920</v>
      </c>
      <c r="R12" s="25">
        <f t="shared" si="6"/>
        <v>95040</v>
      </c>
      <c r="S12" s="25">
        <f t="shared" si="6"/>
        <v>73920</v>
      </c>
      <c r="T12" s="25">
        <f t="shared" si="6"/>
        <v>21120</v>
      </c>
      <c r="U12" s="25">
        <f t="shared" si="1"/>
        <v>4878720</v>
      </c>
      <c r="V12" s="7"/>
    </row>
    <row r="13" spans="1:22" ht="33.75">
      <c r="A13" s="5" t="s">
        <v>38</v>
      </c>
      <c r="B13" s="6" t="s">
        <v>39</v>
      </c>
      <c r="C13" s="6"/>
      <c r="D13" s="7" t="s">
        <v>40</v>
      </c>
      <c r="E13" s="25">
        <f>E14+E15</f>
        <v>297774.86</v>
      </c>
      <c r="F13" s="25">
        <f t="shared" ref="F13:T13" si="7">F14+F15</f>
        <v>192000</v>
      </c>
      <c r="G13" s="25">
        <f t="shared" si="7"/>
        <v>179712</v>
      </c>
      <c r="H13" s="25">
        <f t="shared" si="7"/>
        <v>236333.14</v>
      </c>
      <c r="I13" s="25">
        <f t="shared" si="7"/>
        <v>146377.72</v>
      </c>
      <c r="J13" s="25">
        <f t="shared" si="7"/>
        <v>150454.28</v>
      </c>
      <c r="K13" s="25">
        <f t="shared" si="7"/>
        <v>275076</v>
      </c>
      <c r="L13" s="25">
        <f t="shared" si="7"/>
        <v>119501.14</v>
      </c>
      <c r="M13" s="25">
        <f t="shared" si="7"/>
        <v>83070.86</v>
      </c>
      <c r="N13" s="25">
        <f t="shared" si="7"/>
        <v>153694.28</v>
      </c>
      <c r="O13" s="25">
        <f t="shared" si="7"/>
        <v>95844</v>
      </c>
      <c r="P13" s="25">
        <f t="shared" si="7"/>
        <v>100597.72</v>
      </c>
      <c r="Q13" s="25">
        <f t="shared" si="7"/>
        <v>84354.86</v>
      </c>
      <c r="R13" s="25">
        <f t="shared" si="7"/>
        <v>38948.58</v>
      </c>
      <c r="S13" s="25">
        <f t="shared" si="7"/>
        <v>29893.72</v>
      </c>
      <c r="T13" s="25">
        <f t="shared" si="7"/>
        <v>10431.42</v>
      </c>
      <c r="U13" s="25">
        <f t="shared" si="1"/>
        <v>2194064.58</v>
      </c>
      <c r="V13" s="7"/>
    </row>
    <row r="14" spans="1:22" ht="22.5">
      <c r="A14" s="5" t="s">
        <v>41</v>
      </c>
      <c r="B14" s="6" t="s">
        <v>267</v>
      </c>
      <c r="C14" s="6" t="s">
        <v>27</v>
      </c>
      <c r="D14" s="7" t="s">
        <v>42</v>
      </c>
      <c r="E14" s="25">
        <f>ROUND(E30/0.07*0.005,2)</f>
        <v>148887.43</v>
      </c>
      <c r="F14" s="25">
        <f t="shared" ref="F14:T14" si="8">ROUND(F30/0.07*0.005,2)</f>
        <v>96000</v>
      </c>
      <c r="G14" s="25">
        <f t="shared" si="8"/>
        <v>89856</v>
      </c>
      <c r="H14" s="25">
        <f t="shared" si="8"/>
        <v>118166.57</v>
      </c>
      <c r="I14" s="25">
        <f t="shared" si="8"/>
        <v>73188.86</v>
      </c>
      <c r="J14" s="25">
        <f t="shared" si="8"/>
        <v>75227.14</v>
      </c>
      <c r="K14" s="25">
        <f t="shared" si="8"/>
        <v>137538</v>
      </c>
      <c r="L14" s="25">
        <f t="shared" si="8"/>
        <v>59750.57</v>
      </c>
      <c r="M14" s="25">
        <f t="shared" si="8"/>
        <v>41535.43</v>
      </c>
      <c r="N14" s="25">
        <f t="shared" si="8"/>
        <v>76847.14</v>
      </c>
      <c r="O14" s="25">
        <f t="shared" si="8"/>
        <v>47922</v>
      </c>
      <c r="P14" s="25">
        <f t="shared" si="8"/>
        <v>50298.86</v>
      </c>
      <c r="Q14" s="25">
        <f t="shared" si="8"/>
        <v>42177.43</v>
      </c>
      <c r="R14" s="25">
        <f t="shared" si="8"/>
        <v>19474.29</v>
      </c>
      <c r="S14" s="25">
        <f t="shared" si="8"/>
        <v>14946.86</v>
      </c>
      <c r="T14" s="25">
        <f t="shared" si="8"/>
        <v>5215.71</v>
      </c>
      <c r="U14" s="25">
        <f t="shared" si="1"/>
        <v>1097032.29</v>
      </c>
      <c r="V14" s="7"/>
    </row>
    <row r="15" spans="1:22" ht="22.5">
      <c r="A15" s="5" t="s">
        <v>43</v>
      </c>
      <c r="B15" s="6" t="s">
        <v>268</v>
      </c>
      <c r="C15" s="6" t="s">
        <v>27</v>
      </c>
      <c r="D15" s="7" t="s">
        <v>42</v>
      </c>
      <c r="E15" s="25">
        <f>ROUND(E30/0.07*0.005,2)</f>
        <v>148887.43</v>
      </c>
      <c r="F15" s="25">
        <f t="shared" ref="F15:T15" si="9">ROUND(F30/0.07*0.005,2)</f>
        <v>96000</v>
      </c>
      <c r="G15" s="25">
        <f t="shared" si="9"/>
        <v>89856</v>
      </c>
      <c r="H15" s="25">
        <f t="shared" si="9"/>
        <v>118166.57</v>
      </c>
      <c r="I15" s="25">
        <f t="shared" si="9"/>
        <v>73188.86</v>
      </c>
      <c r="J15" s="25">
        <f t="shared" si="9"/>
        <v>75227.14</v>
      </c>
      <c r="K15" s="25">
        <f t="shared" si="9"/>
        <v>137538</v>
      </c>
      <c r="L15" s="25">
        <f t="shared" si="9"/>
        <v>59750.57</v>
      </c>
      <c r="M15" s="25">
        <f t="shared" si="9"/>
        <v>41535.43</v>
      </c>
      <c r="N15" s="25">
        <f t="shared" si="9"/>
        <v>76847.14</v>
      </c>
      <c r="O15" s="25">
        <f t="shared" si="9"/>
        <v>47922</v>
      </c>
      <c r="P15" s="25">
        <f t="shared" si="9"/>
        <v>50298.86</v>
      </c>
      <c r="Q15" s="25">
        <f t="shared" si="9"/>
        <v>42177.43</v>
      </c>
      <c r="R15" s="25">
        <f t="shared" si="9"/>
        <v>19474.29</v>
      </c>
      <c r="S15" s="25">
        <f t="shared" si="9"/>
        <v>14946.86</v>
      </c>
      <c r="T15" s="25">
        <f t="shared" si="9"/>
        <v>5215.71</v>
      </c>
      <c r="U15" s="25">
        <f t="shared" si="1"/>
        <v>1097032.29</v>
      </c>
      <c r="V15" s="7"/>
    </row>
    <row r="16" spans="1:22" ht="12">
      <c r="A16" s="5" t="s">
        <v>44</v>
      </c>
      <c r="B16" s="6" t="s">
        <v>45</v>
      </c>
      <c r="C16" s="6"/>
      <c r="D16" s="7" t="s">
        <v>20</v>
      </c>
      <c r="E16" s="25">
        <f>E17+E18+E19+E20</f>
        <v>23005376</v>
      </c>
      <c r="F16" s="25">
        <f t="shared" ref="F16:T16" si="10">F17+F18+F19+F20</f>
        <v>14499184</v>
      </c>
      <c r="G16" s="25">
        <f t="shared" si="10"/>
        <v>14162288</v>
      </c>
      <c r="H16" s="25">
        <f t="shared" si="10"/>
        <v>19217452</v>
      </c>
      <c r="I16" s="25">
        <f t="shared" si="10"/>
        <v>11691632</v>
      </c>
      <c r="J16" s="25">
        <f t="shared" si="10"/>
        <v>11873264</v>
      </c>
      <c r="K16" s="25">
        <f t="shared" si="10"/>
        <v>22111504</v>
      </c>
      <c r="L16" s="25">
        <f t="shared" si="10"/>
        <v>8773148</v>
      </c>
      <c r="M16" s="25">
        <f t="shared" si="10"/>
        <v>6524316</v>
      </c>
      <c r="N16" s="25">
        <f t="shared" si="10"/>
        <v>11698740</v>
      </c>
      <c r="O16" s="25">
        <f t="shared" si="10"/>
        <v>7442720</v>
      </c>
      <c r="P16" s="25">
        <f t="shared" si="10"/>
        <v>7598024</v>
      </c>
      <c r="Q16" s="25">
        <f t="shared" si="10"/>
        <v>6545204</v>
      </c>
      <c r="R16" s="25">
        <f t="shared" si="10"/>
        <v>3089624</v>
      </c>
      <c r="S16" s="25">
        <f t="shared" si="10"/>
        <v>2338000</v>
      </c>
      <c r="T16" s="25">
        <f t="shared" si="10"/>
        <v>849000</v>
      </c>
      <c r="U16" s="25">
        <f t="shared" si="1"/>
        <v>171419476</v>
      </c>
      <c r="V16" s="7"/>
    </row>
    <row r="17" spans="1:22" ht="22.5">
      <c r="A17" s="5" t="s">
        <v>46</v>
      </c>
      <c r="B17" s="6" t="s">
        <v>47</v>
      </c>
      <c r="C17" s="6" t="s">
        <v>27</v>
      </c>
      <c r="D17" s="7" t="s">
        <v>269</v>
      </c>
      <c r="E17" s="24">
        <v>20456800</v>
      </c>
      <c r="F17" s="24">
        <v>12765000</v>
      </c>
      <c r="G17" s="24">
        <v>12765000</v>
      </c>
      <c r="H17" s="24">
        <v>17390000</v>
      </c>
      <c r="I17" s="24">
        <v>10384000</v>
      </c>
      <c r="J17" s="24">
        <v>10384000</v>
      </c>
      <c r="K17" s="24">
        <v>19659200</v>
      </c>
      <c r="L17" s="24">
        <v>8178800</v>
      </c>
      <c r="M17" s="24">
        <v>6069700</v>
      </c>
      <c r="N17" s="24">
        <v>10964100</v>
      </c>
      <c r="O17" s="24">
        <v>6923000</v>
      </c>
      <c r="P17" s="24">
        <v>7084000</v>
      </c>
      <c r="Q17" s="24">
        <v>6069700</v>
      </c>
      <c r="R17" s="24">
        <v>2737000</v>
      </c>
      <c r="S17" s="24">
        <v>2254000</v>
      </c>
      <c r="T17" s="24">
        <v>825000</v>
      </c>
      <c r="U17" s="25">
        <f t="shared" si="1"/>
        <v>154909300</v>
      </c>
      <c r="V17" s="7"/>
    </row>
    <row r="18" spans="1:22" ht="33.75">
      <c r="A18" s="5" t="s">
        <v>48</v>
      </c>
      <c r="B18" s="6" t="s">
        <v>49</v>
      </c>
      <c r="C18" s="6" t="s">
        <v>27</v>
      </c>
      <c r="D18" s="7" t="s">
        <v>50</v>
      </c>
      <c r="E18" s="24">
        <v>676576</v>
      </c>
      <c r="F18" s="24">
        <v>598184</v>
      </c>
      <c r="G18" s="24">
        <v>261288</v>
      </c>
      <c r="H18" s="24">
        <v>307452</v>
      </c>
      <c r="I18" s="24">
        <v>251632</v>
      </c>
      <c r="J18" s="24">
        <v>513264</v>
      </c>
      <c r="K18" s="24">
        <v>612304</v>
      </c>
      <c r="L18" s="24">
        <v>276348</v>
      </c>
      <c r="M18" s="24">
        <v>214616</v>
      </c>
      <c r="N18" s="24">
        <v>308640</v>
      </c>
      <c r="O18" s="24">
        <v>255720</v>
      </c>
      <c r="P18" s="24">
        <v>244024</v>
      </c>
      <c r="Q18" s="24">
        <v>241504</v>
      </c>
      <c r="R18" s="24">
        <v>244624</v>
      </c>
      <c r="S18" s="24"/>
      <c r="T18" s="24"/>
      <c r="U18" s="25">
        <f t="shared" si="1"/>
        <v>5006176</v>
      </c>
      <c r="V18" s="7"/>
    </row>
    <row r="19" spans="1:22" ht="12">
      <c r="A19" s="5" t="s">
        <v>51</v>
      </c>
      <c r="B19" s="6" t="s">
        <v>270</v>
      </c>
      <c r="C19" s="6" t="s">
        <v>27</v>
      </c>
      <c r="D19" s="7" t="s">
        <v>20</v>
      </c>
      <c r="E19" s="25">
        <f>E62*500*12</f>
        <v>702000</v>
      </c>
      <c r="F19" s="25">
        <f t="shared" ref="F19:T19" si="11">F62*500*12</f>
        <v>426000</v>
      </c>
      <c r="G19" s="25">
        <f t="shared" si="11"/>
        <v>426000</v>
      </c>
      <c r="H19" s="25">
        <f t="shared" si="11"/>
        <v>570000</v>
      </c>
      <c r="I19" s="25">
        <f t="shared" si="11"/>
        <v>396000</v>
      </c>
      <c r="J19" s="25">
        <f t="shared" si="11"/>
        <v>366000</v>
      </c>
      <c r="K19" s="25">
        <f t="shared" si="11"/>
        <v>690000</v>
      </c>
      <c r="L19" s="25">
        <f t="shared" si="11"/>
        <v>318000</v>
      </c>
      <c r="M19" s="25">
        <f t="shared" si="11"/>
        <v>240000</v>
      </c>
      <c r="N19" s="25">
        <f t="shared" si="11"/>
        <v>426000</v>
      </c>
      <c r="O19" s="25">
        <f t="shared" si="11"/>
        <v>264000</v>
      </c>
      <c r="P19" s="25">
        <f t="shared" si="11"/>
        <v>270000</v>
      </c>
      <c r="Q19" s="25">
        <f t="shared" si="11"/>
        <v>234000</v>
      </c>
      <c r="R19" s="25">
        <f t="shared" si="11"/>
        <v>108000</v>
      </c>
      <c r="S19" s="25">
        <f t="shared" si="11"/>
        <v>84000</v>
      </c>
      <c r="T19" s="25">
        <f t="shared" si="11"/>
        <v>24000</v>
      </c>
      <c r="U19" s="25">
        <f t="shared" si="1"/>
        <v>5544000</v>
      </c>
      <c r="V19" s="7"/>
    </row>
    <row r="20" spans="1:22" ht="22.5">
      <c r="A20" s="5" t="s">
        <v>52</v>
      </c>
      <c r="B20" s="6" t="s">
        <v>271</v>
      </c>
      <c r="C20" s="6" t="s">
        <v>27</v>
      </c>
      <c r="D20" s="7" t="s">
        <v>28</v>
      </c>
      <c r="E20" s="24">
        <f>10000*E62</f>
        <v>1170000</v>
      </c>
      <c r="F20" s="24">
        <f t="shared" ref="F20:K20" si="12">10000*F62</f>
        <v>710000</v>
      </c>
      <c r="G20" s="24">
        <f t="shared" si="12"/>
        <v>710000</v>
      </c>
      <c r="H20" s="24">
        <f t="shared" si="12"/>
        <v>950000</v>
      </c>
      <c r="I20" s="24">
        <f t="shared" si="12"/>
        <v>660000</v>
      </c>
      <c r="J20" s="24">
        <f t="shared" si="12"/>
        <v>610000</v>
      </c>
      <c r="K20" s="24">
        <f t="shared" si="12"/>
        <v>1150000</v>
      </c>
      <c r="L20" s="24"/>
      <c r="M20" s="24"/>
      <c r="N20" s="24"/>
      <c r="O20" s="24"/>
      <c r="P20" s="24"/>
      <c r="Q20" s="24"/>
      <c r="R20" s="24"/>
      <c r="S20" s="24"/>
      <c r="T20" s="24"/>
      <c r="U20" s="25">
        <f t="shared" si="1"/>
        <v>5960000</v>
      </c>
      <c r="V20" s="7"/>
    </row>
    <row r="21" spans="1:22" ht="12">
      <c r="A21" s="5" t="s">
        <v>53</v>
      </c>
      <c r="B21" s="6" t="s">
        <v>54</v>
      </c>
      <c r="C21" s="6"/>
      <c r="D21" s="7" t="s">
        <v>20</v>
      </c>
      <c r="E21" s="25">
        <f>E22+E23</f>
        <v>3871073.13</v>
      </c>
      <c r="F21" s="25">
        <f t="shared" ref="F21:T21" si="13">F22+F23</f>
        <v>2496000</v>
      </c>
      <c r="G21" s="25">
        <f t="shared" si="13"/>
        <v>2336256</v>
      </c>
      <c r="H21" s="25">
        <f t="shared" si="13"/>
        <v>3072330.87</v>
      </c>
      <c r="I21" s="25">
        <f t="shared" si="13"/>
        <v>1902910.29</v>
      </c>
      <c r="J21" s="25">
        <f t="shared" si="13"/>
        <v>1955905.71</v>
      </c>
      <c r="K21" s="25">
        <f t="shared" si="13"/>
        <v>3575988</v>
      </c>
      <c r="L21" s="25">
        <f t="shared" si="13"/>
        <v>1553514.87</v>
      </c>
      <c r="M21" s="25">
        <f t="shared" si="13"/>
        <v>1079921.1299999999</v>
      </c>
      <c r="N21" s="25">
        <f t="shared" si="13"/>
        <v>1998025.71</v>
      </c>
      <c r="O21" s="25">
        <f t="shared" si="13"/>
        <v>1245972</v>
      </c>
      <c r="P21" s="25">
        <f t="shared" si="13"/>
        <v>1307770.29</v>
      </c>
      <c r="Q21" s="25">
        <f t="shared" si="13"/>
        <v>1096613.1299999999</v>
      </c>
      <c r="R21" s="25">
        <f t="shared" si="13"/>
        <v>506331.42000000004</v>
      </c>
      <c r="S21" s="25">
        <f t="shared" si="13"/>
        <v>388618.29</v>
      </c>
      <c r="T21" s="25">
        <f t="shared" si="13"/>
        <v>135608.58000000002</v>
      </c>
      <c r="U21" s="25">
        <f t="shared" si="1"/>
        <v>28522839.419999998</v>
      </c>
      <c r="V21" s="7"/>
    </row>
    <row r="22" spans="1:22" ht="12">
      <c r="A22" s="5" t="s">
        <v>55</v>
      </c>
      <c r="B22" s="6" t="s">
        <v>272</v>
      </c>
      <c r="C22" s="6" t="s">
        <v>56</v>
      </c>
      <c r="D22" s="7" t="s">
        <v>20</v>
      </c>
      <c r="E22" s="25">
        <f>ROUND(E30/0.07*0.09,2)</f>
        <v>2679973.71</v>
      </c>
      <c r="F22" s="25">
        <f t="shared" ref="F22:T22" si="14">ROUND(F30/0.07*0.09,2)</f>
        <v>1728000</v>
      </c>
      <c r="G22" s="25">
        <f t="shared" si="14"/>
        <v>1617408</v>
      </c>
      <c r="H22" s="25">
        <f t="shared" si="14"/>
        <v>2126998.29</v>
      </c>
      <c r="I22" s="25">
        <f t="shared" si="14"/>
        <v>1317399.43</v>
      </c>
      <c r="J22" s="25">
        <f t="shared" si="14"/>
        <v>1354088.57</v>
      </c>
      <c r="K22" s="25">
        <f t="shared" si="14"/>
        <v>2475684</v>
      </c>
      <c r="L22" s="25">
        <f t="shared" si="14"/>
        <v>1075510.29</v>
      </c>
      <c r="M22" s="25">
        <f t="shared" si="14"/>
        <v>747637.71</v>
      </c>
      <c r="N22" s="25">
        <f t="shared" si="14"/>
        <v>1383248.57</v>
      </c>
      <c r="O22" s="25">
        <f t="shared" si="14"/>
        <v>862596</v>
      </c>
      <c r="P22" s="25">
        <f t="shared" si="14"/>
        <v>905379.43</v>
      </c>
      <c r="Q22" s="25">
        <f t="shared" si="14"/>
        <v>759193.71</v>
      </c>
      <c r="R22" s="25">
        <f t="shared" si="14"/>
        <v>350537.14</v>
      </c>
      <c r="S22" s="25">
        <f t="shared" si="14"/>
        <v>269043.43</v>
      </c>
      <c r="T22" s="25">
        <f t="shared" si="14"/>
        <v>93882.86</v>
      </c>
      <c r="U22" s="25">
        <f t="shared" si="1"/>
        <v>19746581.140000001</v>
      </c>
      <c r="V22" s="7"/>
    </row>
    <row r="23" spans="1:22" ht="22.5">
      <c r="A23" s="5" t="s">
        <v>57</v>
      </c>
      <c r="B23" s="6" t="s">
        <v>306</v>
      </c>
      <c r="C23" s="6" t="s">
        <v>56</v>
      </c>
      <c r="D23" s="7" t="s">
        <v>42</v>
      </c>
      <c r="E23" s="25">
        <f>E24+E25</f>
        <v>1191099.42</v>
      </c>
      <c r="F23" s="25">
        <f t="shared" ref="F23:T23" si="15">F24+F25</f>
        <v>768000</v>
      </c>
      <c r="G23" s="25">
        <f t="shared" si="15"/>
        <v>718848</v>
      </c>
      <c r="H23" s="25">
        <f t="shared" si="15"/>
        <v>945332.58</v>
      </c>
      <c r="I23" s="25">
        <f t="shared" si="15"/>
        <v>585510.86</v>
      </c>
      <c r="J23" s="25">
        <f t="shared" si="15"/>
        <v>601817.14</v>
      </c>
      <c r="K23" s="25">
        <f t="shared" si="15"/>
        <v>1100304</v>
      </c>
      <c r="L23" s="25">
        <f t="shared" si="15"/>
        <v>478004.58</v>
      </c>
      <c r="M23" s="25">
        <f t="shared" si="15"/>
        <v>332283.42</v>
      </c>
      <c r="N23" s="25">
        <f t="shared" si="15"/>
        <v>614777.14</v>
      </c>
      <c r="O23" s="25">
        <f t="shared" si="15"/>
        <v>383376</v>
      </c>
      <c r="P23" s="25">
        <f t="shared" si="15"/>
        <v>402390.86</v>
      </c>
      <c r="Q23" s="25">
        <f t="shared" si="15"/>
        <v>337419.42</v>
      </c>
      <c r="R23" s="25">
        <f t="shared" si="15"/>
        <v>155794.28</v>
      </c>
      <c r="S23" s="25">
        <f t="shared" si="15"/>
        <v>119574.86</v>
      </c>
      <c r="T23" s="25">
        <f t="shared" si="15"/>
        <v>41725.72</v>
      </c>
      <c r="U23" s="25">
        <f t="shared" si="1"/>
        <v>8776258.2799999993</v>
      </c>
      <c r="V23" s="7"/>
    </row>
    <row r="24" spans="1:22" ht="22.5">
      <c r="A24" s="5" t="s">
        <v>58</v>
      </c>
      <c r="B24" s="6" t="s">
        <v>307</v>
      </c>
      <c r="C24" s="6" t="s">
        <v>56</v>
      </c>
      <c r="D24" s="7" t="s">
        <v>42</v>
      </c>
      <c r="E24" s="25">
        <f>ROUND(E30/0.07*0.02,2)</f>
        <v>595549.71</v>
      </c>
      <c r="F24" s="25">
        <f t="shared" ref="F24:T24" si="16">ROUND(F30/0.07*0.02,2)</f>
        <v>384000</v>
      </c>
      <c r="G24" s="25">
        <f t="shared" si="16"/>
        <v>359424</v>
      </c>
      <c r="H24" s="25">
        <f t="shared" si="16"/>
        <v>472666.29</v>
      </c>
      <c r="I24" s="25">
        <f t="shared" si="16"/>
        <v>292755.43</v>
      </c>
      <c r="J24" s="25">
        <f t="shared" si="16"/>
        <v>300908.57</v>
      </c>
      <c r="K24" s="25">
        <f t="shared" si="16"/>
        <v>550152</v>
      </c>
      <c r="L24" s="25">
        <f t="shared" si="16"/>
        <v>239002.29</v>
      </c>
      <c r="M24" s="25">
        <f t="shared" si="16"/>
        <v>166141.71</v>
      </c>
      <c r="N24" s="25">
        <f t="shared" si="16"/>
        <v>307388.57</v>
      </c>
      <c r="O24" s="25">
        <f t="shared" si="16"/>
        <v>191688</v>
      </c>
      <c r="P24" s="25">
        <f t="shared" si="16"/>
        <v>201195.43</v>
      </c>
      <c r="Q24" s="25">
        <f t="shared" si="16"/>
        <v>168709.71</v>
      </c>
      <c r="R24" s="25">
        <f t="shared" si="16"/>
        <v>77897.14</v>
      </c>
      <c r="S24" s="25">
        <f t="shared" si="16"/>
        <v>59787.43</v>
      </c>
      <c r="T24" s="25">
        <f t="shared" si="16"/>
        <v>20862.86</v>
      </c>
      <c r="U24" s="25">
        <f t="shared" si="1"/>
        <v>4388129.1399999997</v>
      </c>
      <c r="V24" s="7"/>
    </row>
    <row r="25" spans="1:22" ht="22.5">
      <c r="A25" s="5" t="s">
        <v>59</v>
      </c>
      <c r="B25" s="6" t="s">
        <v>308</v>
      </c>
      <c r="C25" s="6" t="s">
        <v>56</v>
      </c>
      <c r="D25" s="7" t="s">
        <v>42</v>
      </c>
      <c r="E25" s="25">
        <f>ROUND(E30/0.07*0.02,2)</f>
        <v>595549.71</v>
      </c>
      <c r="F25" s="25">
        <f t="shared" ref="F25:T25" si="17">ROUND(F30/0.07*0.02,2)</f>
        <v>384000</v>
      </c>
      <c r="G25" s="25">
        <f t="shared" si="17"/>
        <v>359424</v>
      </c>
      <c r="H25" s="25">
        <f t="shared" si="17"/>
        <v>472666.29</v>
      </c>
      <c r="I25" s="25">
        <f t="shared" si="17"/>
        <v>292755.43</v>
      </c>
      <c r="J25" s="25">
        <f t="shared" si="17"/>
        <v>300908.57</v>
      </c>
      <c r="K25" s="25">
        <f t="shared" si="17"/>
        <v>550152</v>
      </c>
      <c r="L25" s="25">
        <f t="shared" si="17"/>
        <v>239002.29</v>
      </c>
      <c r="M25" s="25">
        <f t="shared" si="17"/>
        <v>166141.71</v>
      </c>
      <c r="N25" s="25">
        <f t="shared" si="17"/>
        <v>307388.57</v>
      </c>
      <c r="O25" s="25">
        <f t="shared" si="17"/>
        <v>191688</v>
      </c>
      <c r="P25" s="25">
        <f t="shared" si="17"/>
        <v>201195.43</v>
      </c>
      <c r="Q25" s="25">
        <f t="shared" si="17"/>
        <v>168709.71</v>
      </c>
      <c r="R25" s="25">
        <f t="shared" si="17"/>
        <v>77897.14</v>
      </c>
      <c r="S25" s="25">
        <f t="shared" si="17"/>
        <v>59787.43</v>
      </c>
      <c r="T25" s="25">
        <f t="shared" si="17"/>
        <v>20862.86</v>
      </c>
      <c r="U25" s="25">
        <f t="shared" si="1"/>
        <v>4388129.1399999997</v>
      </c>
      <c r="V25" s="7"/>
    </row>
    <row r="26" spans="1:22" ht="12">
      <c r="A26" s="5" t="s">
        <v>60</v>
      </c>
      <c r="B26" s="6" t="s">
        <v>61</v>
      </c>
      <c r="C26" s="6"/>
      <c r="D26" s="7" t="s">
        <v>20</v>
      </c>
      <c r="E26" s="25">
        <f t="shared" ref="E26:T26" si="18">E27</f>
        <v>4764397.71</v>
      </c>
      <c r="F26" s="25">
        <f t="shared" si="18"/>
        <v>3072000</v>
      </c>
      <c r="G26" s="25">
        <f t="shared" si="18"/>
        <v>2875392</v>
      </c>
      <c r="H26" s="25">
        <f t="shared" si="18"/>
        <v>3781330.29</v>
      </c>
      <c r="I26" s="25">
        <f t="shared" si="18"/>
        <v>2342043.4300000002</v>
      </c>
      <c r="J26" s="25">
        <f t="shared" si="18"/>
        <v>2407268.5699999998</v>
      </c>
      <c r="K26" s="25">
        <f t="shared" si="18"/>
        <v>4401216</v>
      </c>
      <c r="L26" s="25">
        <f t="shared" si="18"/>
        <v>1912018.29</v>
      </c>
      <c r="M26" s="25">
        <f t="shared" si="18"/>
        <v>1329133.71</v>
      </c>
      <c r="N26" s="25">
        <f t="shared" si="18"/>
        <v>2459108.5699999998</v>
      </c>
      <c r="O26" s="25">
        <f t="shared" si="18"/>
        <v>1533504</v>
      </c>
      <c r="P26" s="25">
        <f t="shared" si="18"/>
        <v>1609563.43</v>
      </c>
      <c r="Q26" s="25">
        <f t="shared" si="18"/>
        <v>1349677.71</v>
      </c>
      <c r="R26" s="25">
        <f t="shared" si="18"/>
        <v>623177.14</v>
      </c>
      <c r="S26" s="25">
        <f t="shared" si="18"/>
        <v>478299.43</v>
      </c>
      <c r="T26" s="25">
        <f t="shared" si="18"/>
        <v>166902.85999999999</v>
      </c>
      <c r="U26" s="25">
        <f t="shared" si="1"/>
        <v>35105033.140000001</v>
      </c>
      <c r="V26" s="7"/>
    </row>
    <row r="27" spans="1:22" ht="22.5">
      <c r="A27" s="5" t="s">
        <v>62</v>
      </c>
      <c r="B27" s="6" t="s">
        <v>309</v>
      </c>
      <c r="C27" s="6" t="s">
        <v>63</v>
      </c>
      <c r="D27" s="7" t="s">
        <v>42</v>
      </c>
      <c r="E27" s="25">
        <f>ROUND(E30/0.07*0.16,2)</f>
        <v>4764397.71</v>
      </c>
      <c r="F27" s="25">
        <f t="shared" ref="F27:T27" si="19">ROUND(F30/0.07*0.16,2)</f>
        <v>3072000</v>
      </c>
      <c r="G27" s="25">
        <f t="shared" si="19"/>
        <v>2875392</v>
      </c>
      <c r="H27" s="25">
        <f t="shared" si="19"/>
        <v>3781330.29</v>
      </c>
      <c r="I27" s="25">
        <f t="shared" si="19"/>
        <v>2342043.4300000002</v>
      </c>
      <c r="J27" s="25">
        <f t="shared" si="19"/>
        <v>2407268.5699999998</v>
      </c>
      <c r="K27" s="25">
        <f t="shared" si="19"/>
        <v>4401216</v>
      </c>
      <c r="L27" s="25">
        <f t="shared" si="19"/>
        <v>1912018.29</v>
      </c>
      <c r="M27" s="25">
        <f t="shared" si="19"/>
        <v>1329133.71</v>
      </c>
      <c r="N27" s="25">
        <f t="shared" si="19"/>
        <v>2459108.5699999998</v>
      </c>
      <c r="O27" s="25">
        <f t="shared" si="19"/>
        <v>1533504</v>
      </c>
      <c r="P27" s="25">
        <f t="shared" si="19"/>
        <v>1609563.43</v>
      </c>
      <c r="Q27" s="25">
        <f t="shared" si="19"/>
        <v>1349677.71</v>
      </c>
      <c r="R27" s="25">
        <f t="shared" si="19"/>
        <v>623177.14</v>
      </c>
      <c r="S27" s="25">
        <f t="shared" si="19"/>
        <v>478299.43</v>
      </c>
      <c r="T27" s="25">
        <f t="shared" si="19"/>
        <v>166902.85999999999</v>
      </c>
      <c r="U27" s="25">
        <f t="shared" si="1"/>
        <v>35105033.140000001</v>
      </c>
      <c r="V27" s="7"/>
    </row>
    <row r="28" spans="1:22" ht="12">
      <c r="A28" s="5" t="s">
        <v>64</v>
      </c>
      <c r="B28" s="6" t="s">
        <v>65</v>
      </c>
      <c r="C28" s="6"/>
      <c r="D28" s="7" t="s">
        <v>20</v>
      </c>
      <c r="E28" s="25">
        <f t="shared" ref="E28:T28" si="20">E29</f>
        <v>2382198.86</v>
      </c>
      <c r="F28" s="25">
        <f t="shared" si="20"/>
        <v>1536000</v>
      </c>
      <c r="G28" s="25">
        <f t="shared" si="20"/>
        <v>1437696</v>
      </c>
      <c r="H28" s="25">
        <f t="shared" si="20"/>
        <v>1890665.14</v>
      </c>
      <c r="I28" s="25">
        <f t="shared" si="20"/>
        <v>1171021.71</v>
      </c>
      <c r="J28" s="25">
        <f t="shared" si="20"/>
        <v>1203634.29</v>
      </c>
      <c r="K28" s="25">
        <f t="shared" si="20"/>
        <v>2200608</v>
      </c>
      <c r="L28" s="25">
        <f t="shared" si="20"/>
        <v>956009.14</v>
      </c>
      <c r="M28" s="25">
        <f t="shared" si="20"/>
        <v>664566.86</v>
      </c>
      <c r="N28" s="25">
        <f t="shared" si="20"/>
        <v>1229554.29</v>
      </c>
      <c r="O28" s="25">
        <f t="shared" si="20"/>
        <v>766752</v>
      </c>
      <c r="P28" s="25">
        <f t="shared" si="20"/>
        <v>804781.71</v>
      </c>
      <c r="Q28" s="25">
        <f t="shared" si="20"/>
        <v>674838.86</v>
      </c>
      <c r="R28" s="25">
        <f t="shared" si="20"/>
        <v>311588.57</v>
      </c>
      <c r="S28" s="25">
        <f t="shared" si="20"/>
        <v>239149.71</v>
      </c>
      <c r="T28" s="25">
        <f t="shared" si="20"/>
        <v>83451.429999999993</v>
      </c>
      <c r="U28" s="25">
        <f t="shared" si="1"/>
        <v>17552516.57</v>
      </c>
      <c r="V28" s="7"/>
    </row>
    <row r="29" spans="1:22" ht="22.5">
      <c r="A29" s="5" t="s">
        <v>66</v>
      </c>
      <c r="B29" s="6" t="s">
        <v>67</v>
      </c>
      <c r="C29" s="6" t="s">
        <v>68</v>
      </c>
      <c r="D29" s="7" t="s">
        <v>42</v>
      </c>
      <c r="E29" s="25">
        <f>ROUND(E30/0.07*0.08,2)</f>
        <v>2382198.86</v>
      </c>
      <c r="F29" s="25">
        <f t="shared" ref="F29:T29" si="21">ROUND(F30/0.07*0.08,2)</f>
        <v>1536000</v>
      </c>
      <c r="G29" s="25">
        <f t="shared" si="21"/>
        <v>1437696</v>
      </c>
      <c r="H29" s="25">
        <f t="shared" si="21"/>
        <v>1890665.14</v>
      </c>
      <c r="I29" s="25">
        <f t="shared" si="21"/>
        <v>1171021.71</v>
      </c>
      <c r="J29" s="25">
        <f t="shared" si="21"/>
        <v>1203634.29</v>
      </c>
      <c r="K29" s="25">
        <f t="shared" si="21"/>
        <v>2200608</v>
      </c>
      <c r="L29" s="25">
        <f t="shared" si="21"/>
        <v>956009.14</v>
      </c>
      <c r="M29" s="25">
        <f t="shared" si="21"/>
        <v>664566.86</v>
      </c>
      <c r="N29" s="25">
        <f t="shared" si="21"/>
        <v>1229554.29</v>
      </c>
      <c r="O29" s="25">
        <f t="shared" si="21"/>
        <v>766752</v>
      </c>
      <c r="P29" s="25">
        <f t="shared" si="21"/>
        <v>804781.71</v>
      </c>
      <c r="Q29" s="25">
        <f t="shared" si="21"/>
        <v>674838.86</v>
      </c>
      <c r="R29" s="25">
        <f t="shared" si="21"/>
        <v>311588.57</v>
      </c>
      <c r="S29" s="25">
        <f t="shared" si="21"/>
        <v>239149.71</v>
      </c>
      <c r="T29" s="25">
        <f t="shared" si="21"/>
        <v>83451.429999999993</v>
      </c>
      <c r="U29" s="25">
        <f t="shared" si="1"/>
        <v>17552516.57</v>
      </c>
      <c r="V29" s="7"/>
    </row>
    <row r="30" spans="1:22" ht="22.5">
      <c r="A30" s="5" t="s">
        <v>69</v>
      </c>
      <c r="B30" s="6" t="s">
        <v>310</v>
      </c>
      <c r="C30" s="6" t="s">
        <v>70</v>
      </c>
      <c r="D30" s="7" t="s">
        <v>278</v>
      </c>
      <c r="E30" s="24">
        <v>2084424</v>
      </c>
      <c r="F30" s="24">
        <v>1344000</v>
      </c>
      <c r="G30" s="24">
        <v>1257984</v>
      </c>
      <c r="H30" s="24">
        <v>1654332</v>
      </c>
      <c r="I30" s="24">
        <v>1024644</v>
      </c>
      <c r="J30" s="24">
        <v>1053180</v>
      </c>
      <c r="K30" s="24">
        <v>1925532</v>
      </c>
      <c r="L30" s="24">
        <v>836508</v>
      </c>
      <c r="M30" s="24">
        <v>581496</v>
      </c>
      <c r="N30" s="24">
        <v>1075860</v>
      </c>
      <c r="O30" s="24">
        <v>670908</v>
      </c>
      <c r="P30" s="24">
        <v>704184</v>
      </c>
      <c r="Q30" s="24">
        <v>590484</v>
      </c>
      <c r="R30" s="24">
        <v>272640</v>
      </c>
      <c r="S30" s="24">
        <v>209256</v>
      </c>
      <c r="T30" s="24">
        <v>73020</v>
      </c>
      <c r="U30" s="25">
        <f t="shared" si="1"/>
        <v>15358452</v>
      </c>
      <c r="V30" s="7"/>
    </row>
    <row r="31" spans="1:22" ht="12">
      <c r="A31" s="5" t="s">
        <v>71</v>
      </c>
      <c r="B31" s="6" t="s">
        <v>279</v>
      </c>
      <c r="C31" s="6" t="s">
        <v>27</v>
      </c>
      <c r="D31" s="7" t="s">
        <v>280</v>
      </c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5">
        <f t="shared" si="1"/>
        <v>0</v>
      </c>
      <c r="V31" s="7"/>
    </row>
    <row r="32" spans="1:22" ht="12">
      <c r="A32" s="5" t="s">
        <v>72</v>
      </c>
      <c r="B32" s="6" t="s">
        <v>73</v>
      </c>
      <c r="C32" s="6"/>
      <c r="D32" s="7" t="s">
        <v>20</v>
      </c>
      <c r="E32" s="25">
        <f>E33+E35+E37</f>
        <v>3143760</v>
      </c>
      <c r="F32" s="25">
        <f t="shared" ref="F32:T32" si="22">F33+F35+F37</f>
        <v>789480</v>
      </c>
      <c r="G32" s="25">
        <f t="shared" si="22"/>
        <v>816300</v>
      </c>
      <c r="H32" s="25">
        <f t="shared" si="22"/>
        <v>21180</v>
      </c>
      <c r="I32" s="25">
        <f t="shared" si="22"/>
        <v>1185420</v>
      </c>
      <c r="J32" s="25">
        <f t="shared" si="22"/>
        <v>632940</v>
      </c>
      <c r="K32" s="25">
        <f t="shared" si="22"/>
        <v>508560</v>
      </c>
      <c r="L32" s="25">
        <f t="shared" si="22"/>
        <v>488040</v>
      </c>
      <c r="M32" s="25">
        <f t="shared" si="22"/>
        <v>239700</v>
      </c>
      <c r="N32" s="25">
        <f t="shared" si="22"/>
        <v>152460</v>
      </c>
      <c r="O32" s="25">
        <f t="shared" si="22"/>
        <v>107280</v>
      </c>
      <c r="P32" s="25">
        <f t="shared" si="22"/>
        <v>4320</v>
      </c>
      <c r="Q32" s="25">
        <f t="shared" si="22"/>
        <v>2880</v>
      </c>
      <c r="R32" s="25">
        <f t="shared" si="22"/>
        <v>1080</v>
      </c>
      <c r="S32" s="25">
        <f t="shared" si="22"/>
        <v>720</v>
      </c>
      <c r="T32" s="25">
        <f t="shared" si="22"/>
        <v>85200</v>
      </c>
      <c r="U32" s="25">
        <f t="shared" si="1"/>
        <v>8179320</v>
      </c>
      <c r="V32" s="7"/>
    </row>
    <row r="33" spans="1:22" ht="33.75">
      <c r="A33" s="5" t="s">
        <v>74</v>
      </c>
      <c r="B33" s="6" t="s">
        <v>281</v>
      </c>
      <c r="C33" s="6" t="s">
        <v>75</v>
      </c>
      <c r="D33" s="7" t="s">
        <v>282</v>
      </c>
      <c r="E33" s="25">
        <f>E34</f>
        <v>3138000</v>
      </c>
      <c r="F33" s="25">
        <f t="shared" ref="F33:T33" si="23">F34</f>
        <v>785160</v>
      </c>
      <c r="G33" s="25">
        <f t="shared" si="23"/>
        <v>813420</v>
      </c>
      <c r="H33" s="25">
        <f t="shared" si="23"/>
        <v>15780</v>
      </c>
      <c r="I33" s="25">
        <f t="shared" si="23"/>
        <v>1185060</v>
      </c>
      <c r="J33" s="25">
        <f t="shared" si="23"/>
        <v>632220</v>
      </c>
      <c r="K33" s="25">
        <f t="shared" si="23"/>
        <v>505320</v>
      </c>
      <c r="L33" s="25">
        <f t="shared" si="23"/>
        <v>483720</v>
      </c>
      <c r="M33" s="25">
        <f t="shared" si="23"/>
        <v>236460</v>
      </c>
      <c r="N33" s="25">
        <f t="shared" si="23"/>
        <v>149220</v>
      </c>
      <c r="O33" s="25">
        <f t="shared" si="23"/>
        <v>105120</v>
      </c>
      <c r="P33" s="25">
        <f t="shared" si="23"/>
        <v>0</v>
      </c>
      <c r="Q33" s="25">
        <f t="shared" si="23"/>
        <v>0</v>
      </c>
      <c r="R33" s="25">
        <f t="shared" si="23"/>
        <v>0</v>
      </c>
      <c r="S33" s="25">
        <f t="shared" si="23"/>
        <v>0</v>
      </c>
      <c r="T33" s="25">
        <f t="shared" si="23"/>
        <v>85200</v>
      </c>
      <c r="U33" s="25">
        <f t="shared" si="1"/>
        <v>8134680</v>
      </c>
      <c r="V33" s="7"/>
    </row>
    <row r="34" spans="1:22" ht="33.75">
      <c r="A34" s="5" t="s">
        <v>76</v>
      </c>
      <c r="B34" s="6" t="s">
        <v>311</v>
      </c>
      <c r="C34" s="6" t="s">
        <v>75</v>
      </c>
      <c r="D34" s="7" t="s">
        <v>282</v>
      </c>
      <c r="E34" s="24">
        <v>3138000</v>
      </c>
      <c r="F34" s="24">
        <v>785160</v>
      </c>
      <c r="G34" s="24">
        <v>813420</v>
      </c>
      <c r="H34" s="24">
        <v>15780</v>
      </c>
      <c r="I34" s="24">
        <v>1185060</v>
      </c>
      <c r="J34" s="24">
        <v>632220</v>
      </c>
      <c r="K34" s="24">
        <v>505320</v>
      </c>
      <c r="L34" s="24">
        <v>483720</v>
      </c>
      <c r="M34" s="24">
        <v>236460</v>
      </c>
      <c r="N34" s="24">
        <v>149220</v>
      </c>
      <c r="O34" s="24">
        <v>105120</v>
      </c>
      <c r="P34" s="24"/>
      <c r="Q34" s="24"/>
      <c r="R34" s="24"/>
      <c r="S34" s="24"/>
      <c r="T34" s="24">
        <v>85200</v>
      </c>
      <c r="U34" s="25">
        <f t="shared" si="1"/>
        <v>8134680</v>
      </c>
      <c r="V34" s="7"/>
    </row>
    <row r="35" spans="1:22" ht="12">
      <c r="A35" s="5" t="s">
        <v>77</v>
      </c>
      <c r="B35" s="6" t="s">
        <v>78</v>
      </c>
      <c r="C35" s="6"/>
      <c r="D35" s="7" t="s">
        <v>20</v>
      </c>
      <c r="E35" s="25">
        <f>E36</f>
        <v>5760</v>
      </c>
      <c r="F35" s="25">
        <f t="shared" ref="F35:T35" si="24">F36</f>
        <v>4320</v>
      </c>
      <c r="G35" s="25">
        <f t="shared" si="24"/>
        <v>2880</v>
      </c>
      <c r="H35" s="25">
        <f t="shared" si="24"/>
        <v>5400</v>
      </c>
      <c r="I35" s="25">
        <f t="shared" si="24"/>
        <v>360</v>
      </c>
      <c r="J35" s="25">
        <f t="shared" si="24"/>
        <v>720</v>
      </c>
      <c r="K35" s="25">
        <f t="shared" si="24"/>
        <v>3240</v>
      </c>
      <c r="L35" s="25">
        <f t="shared" si="24"/>
        <v>4320</v>
      </c>
      <c r="M35" s="25">
        <f t="shared" si="24"/>
        <v>3240</v>
      </c>
      <c r="N35" s="25">
        <f t="shared" si="24"/>
        <v>3240</v>
      </c>
      <c r="O35" s="25">
        <f t="shared" si="24"/>
        <v>2160</v>
      </c>
      <c r="P35" s="25">
        <f t="shared" si="24"/>
        <v>4320</v>
      </c>
      <c r="Q35" s="25">
        <f t="shared" si="24"/>
        <v>2880</v>
      </c>
      <c r="R35" s="25">
        <f t="shared" si="24"/>
        <v>1080</v>
      </c>
      <c r="S35" s="25">
        <f t="shared" si="24"/>
        <v>720</v>
      </c>
      <c r="T35" s="25">
        <f t="shared" si="24"/>
        <v>0</v>
      </c>
      <c r="U35" s="25">
        <f t="shared" si="1"/>
        <v>44640</v>
      </c>
      <c r="V35" s="7"/>
    </row>
    <row r="36" spans="1:22" ht="22.5">
      <c r="A36" s="5" t="s">
        <v>79</v>
      </c>
      <c r="B36" s="6" t="s">
        <v>80</v>
      </c>
      <c r="C36" s="6" t="s">
        <v>27</v>
      </c>
      <c r="D36" s="7" t="s">
        <v>28</v>
      </c>
      <c r="E36" s="24">
        <v>5760</v>
      </c>
      <c r="F36" s="24">
        <v>4320</v>
      </c>
      <c r="G36" s="24">
        <v>2880</v>
      </c>
      <c r="H36" s="24">
        <v>5400</v>
      </c>
      <c r="I36" s="24">
        <v>360</v>
      </c>
      <c r="J36" s="24">
        <v>720</v>
      </c>
      <c r="K36" s="24">
        <v>3240</v>
      </c>
      <c r="L36" s="24">
        <v>4320</v>
      </c>
      <c r="M36" s="24">
        <v>3240</v>
      </c>
      <c r="N36" s="24">
        <v>3240</v>
      </c>
      <c r="O36" s="24">
        <v>2160</v>
      </c>
      <c r="P36" s="24">
        <v>4320</v>
      </c>
      <c r="Q36" s="24">
        <v>2880</v>
      </c>
      <c r="R36" s="24">
        <v>1080</v>
      </c>
      <c r="S36" s="24">
        <v>720</v>
      </c>
      <c r="T36" s="24"/>
      <c r="U36" s="25">
        <f t="shared" si="1"/>
        <v>44640</v>
      </c>
      <c r="V36" s="7"/>
    </row>
    <row r="37" spans="1:22" ht="12">
      <c r="A37" s="5" t="s">
        <v>81</v>
      </c>
      <c r="B37" s="6" t="s">
        <v>82</v>
      </c>
      <c r="C37" s="6"/>
      <c r="D37" s="7" t="s">
        <v>20</v>
      </c>
      <c r="E37" s="25">
        <f>E38</f>
        <v>0</v>
      </c>
      <c r="F37" s="25">
        <f t="shared" ref="F37:T37" si="25">F38</f>
        <v>0</v>
      </c>
      <c r="G37" s="25">
        <f t="shared" si="25"/>
        <v>0</v>
      </c>
      <c r="H37" s="25">
        <f t="shared" si="25"/>
        <v>0</v>
      </c>
      <c r="I37" s="25">
        <f t="shared" si="25"/>
        <v>0</v>
      </c>
      <c r="J37" s="25">
        <f t="shared" si="25"/>
        <v>0</v>
      </c>
      <c r="K37" s="25">
        <f t="shared" si="25"/>
        <v>0</v>
      </c>
      <c r="L37" s="25">
        <f t="shared" si="25"/>
        <v>0</v>
      </c>
      <c r="M37" s="25">
        <f t="shared" si="25"/>
        <v>0</v>
      </c>
      <c r="N37" s="25">
        <f t="shared" si="25"/>
        <v>0</v>
      </c>
      <c r="O37" s="25">
        <f t="shared" si="25"/>
        <v>0</v>
      </c>
      <c r="P37" s="25">
        <f t="shared" si="25"/>
        <v>0</v>
      </c>
      <c r="Q37" s="25">
        <f t="shared" si="25"/>
        <v>0</v>
      </c>
      <c r="R37" s="25">
        <f t="shared" si="25"/>
        <v>0</v>
      </c>
      <c r="S37" s="25">
        <f t="shared" si="25"/>
        <v>0</v>
      </c>
      <c r="T37" s="25">
        <f t="shared" si="25"/>
        <v>0</v>
      </c>
      <c r="U37" s="25">
        <f t="shared" si="1"/>
        <v>0</v>
      </c>
      <c r="V37" s="7"/>
    </row>
    <row r="38" spans="1:22" ht="56.25">
      <c r="A38" s="5" t="s">
        <v>83</v>
      </c>
      <c r="B38" s="6" t="s">
        <v>284</v>
      </c>
      <c r="C38" s="6" t="s">
        <v>27</v>
      </c>
      <c r="D38" s="7" t="s">
        <v>84</v>
      </c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5">
        <f t="shared" si="1"/>
        <v>0</v>
      </c>
      <c r="V38" s="7"/>
    </row>
    <row r="39" spans="1:22" ht="12">
      <c r="A39" s="5" t="s">
        <v>85</v>
      </c>
      <c r="B39" s="6" t="s">
        <v>86</v>
      </c>
      <c r="C39" s="6"/>
      <c r="D39" s="7" t="s">
        <v>20</v>
      </c>
      <c r="E39" s="25">
        <f>E40+E42+E44+E46+E48+E51+E53+E55+E59</f>
        <v>8169794.2599999998</v>
      </c>
      <c r="F39" s="25">
        <f t="shared" ref="F39:T39" si="26">F40+F42+F44+F46+F48+F51+F53+F55+F59</f>
        <v>5324892.2</v>
      </c>
      <c r="G39" s="25">
        <f t="shared" si="26"/>
        <v>5689691.1499999994</v>
      </c>
      <c r="H39" s="25">
        <f t="shared" si="26"/>
        <v>7086569.4899999993</v>
      </c>
      <c r="I39" s="25">
        <f t="shared" si="26"/>
        <v>4377514.63</v>
      </c>
      <c r="J39" s="25">
        <f t="shared" si="26"/>
        <v>3367349.82</v>
      </c>
      <c r="K39" s="25">
        <f t="shared" si="26"/>
        <v>7521497.7999999998</v>
      </c>
      <c r="L39" s="25">
        <f t="shared" si="26"/>
        <v>2977093.79</v>
      </c>
      <c r="M39" s="25">
        <f t="shared" si="26"/>
        <v>1974723.06</v>
      </c>
      <c r="N39" s="25">
        <f t="shared" si="26"/>
        <v>3994122.5199999996</v>
      </c>
      <c r="O39" s="25">
        <f t="shared" si="26"/>
        <v>2194217.9</v>
      </c>
      <c r="P39" s="25">
        <f t="shared" si="26"/>
        <v>2377426.1800000002</v>
      </c>
      <c r="Q39" s="25">
        <f t="shared" si="26"/>
        <v>1982421.36</v>
      </c>
      <c r="R39" s="25">
        <f t="shared" si="26"/>
        <v>1157434.1399999999</v>
      </c>
      <c r="S39" s="25">
        <f t="shared" si="26"/>
        <v>1153553.43</v>
      </c>
      <c r="T39" s="25">
        <f t="shared" si="26"/>
        <v>180222.86</v>
      </c>
      <c r="U39" s="25">
        <f t="shared" si="1"/>
        <v>59528524.589999996</v>
      </c>
      <c r="V39" s="7"/>
    </row>
    <row r="40" spans="1:22" ht="22.5">
      <c r="A40" s="5" t="s">
        <v>87</v>
      </c>
      <c r="B40" s="6" t="s">
        <v>88</v>
      </c>
      <c r="C40" s="6"/>
      <c r="D40" s="7" t="s">
        <v>89</v>
      </c>
      <c r="E40" s="24">
        <v>5720230</v>
      </c>
      <c r="F40" s="24">
        <v>4158000</v>
      </c>
      <c r="G40" s="24">
        <v>4338950</v>
      </c>
      <c r="H40" s="24">
        <v>5794250</v>
      </c>
      <c r="I40" s="24">
        <v>3203580</v>
      </c>
      <c r="J40" s="24">
        <v>2458860</v>
      </c>
      <c r="K40" s="24">
        <v>5855040</v>
      </c>
      <c r="L40" s="24">
        <v>2145000</v>
      </c>
      <c r="M40" s="24">
        <v>1430000</v>
      </c>
      <c r="N40" s="24">
        <v>3003000</v>
      </c>
      <c r="O40" s="24">
        <v>1573000</v>
      </c>
      <c r="P40" s="24">
        <v>1716000</v>
      </c>
      <c r="Q40" s="24">
        <v>1430000</v>
      </c>
      <c r="R40" s="24">
        <v>858000</v>
      </c>
      <c r="S40" s="24">
        <v>858000</v>
      </c>
      <c r="T40" s="24">
        <v>89600</v>
      </c>
      <c r="U40" s="25">
        <f t="shared" si="1"/>
        <v>44631510</v>
      </c>
      <c r="V40" s="7"/>
    </row>
    <row r="41" spans="1:22" ht="12">
      <c r="A41" s="5" t="s">
        <v>90</v>
      </c>
      <c r="B41" s="6" t="s">
        <v>285</v>
      </c>
      <c r="C41" s="6" t="s">
        <v>312</v>
      </c>
      <c r="D41" s="11" t="s">
        <v>313</v>
      </c>
      <c r="E41" s="24">
        <v>250862</v>
      </c>
      <c r="F41" s="24">
        <v>207900</v>
      </c>
      <c r="G41" s="24">
        <v>216947.5</v>
      </c>
      <c r="H41" s="24">
        <v>289712.5</v>
      </c>
      <c r="I41" s="24">
        <v>160179</v>
      </c>
      <c r="J41" s="24">
        <v>122943</v>
      </c>
      <c r="K41" s="24">
        <v>292752</v>
      </c>
      <c r="L41" s="24">
        <v>68211</v>
      </c>
      <c r="M41" s="24">
        <v>60632</v>
      </c>
      <c r="N41" s="24">
        <v>118404</v>
      </c>
      <c r="O41" s="24">
        <v>60203</v>
      </c>
      <c r="P41" s="24">
        <v>64779</v>
      </c>
      <c r="Q41" s="24">
        <v>67782</v>
      </c>
      <c r="R41" s="24">
        <v>32747</v>
      </c>
      <c r="S41" s="24">
        <v>18161</v>
      </c>
      <c r="T41" s="24">
        <v>4480</v>
      </c>
      <c r="U41" s="25">
        <f t="shared" si="1"/>
        <v>2036695</v>
      </c>
      <c r="V41" s="7"/>
    </row>
    <row r="42" spans="1:22" ht="12">
      <c r="A42" s="5" t="s">
        <v>91</v>
      </c>
      <c r="B42" s="6" t="s">
        <v>92</v>
      </c>
      <c r="C42" s="6"/>
      <c r="D42" s="7"/>
      <c r="E42" s="25">
        <f>E43</f>
        <v>46800</v>
      </c>
      <c r="F42" s="25">
        <f t="shared" ref="F42:T42" si="27">F43</f>
        <v>28400</v>
      </c>
      <c r="G42" s="25">
        <f t="shared" si="27"/>
        <v>28400</v>
      </c>
      <c r="H42" s="25">
        <f t="shared" si="27"/>
        <v>38000</v>
      </c>
      <c r="I42" s="25">
        <f t="shared" si="27"/>
        <v>26400</v>
      </c>
      <c r="J42" s="25">
        <f t="shared" si="27"/>
        <v>24400</v>
      </c>
      <c r="K42" s="25">
        <f t="shared" si="27"/>
        <v>46000</v>
      </c>
      <c r="L42" s="25">
        <f t="shared" si="27"/>
        <v>21200</v>
      </c>
      <c r="M42" s="25">
        <f t="shared" si="27"/>
        <v>16000</v>
      </c>
      <c r="N42" s="25">
        <f t="shared" si="27"/>
        <v>28400</v>
      </c>
      <c r="O42" s="25">
        <f t="shared" si="27"/>
        <v>17600</v>
      </c>
      <c r="P42" s="25">
        <f t="shared" si="27"/>
        <v>18000</v>
      </c>
      <c r="Q42" s="25">
        <f t="shared" si="27"/>
        <v>15600</v>
      </c>
      <c r="R42" s="25">
        <f t="shared" si="27"/>
        <v>7200</v>
      </c>
      <c r="S42" s="25">
        <f t="shared" si="27"/>
        <v>5600</v>
      </c>
      <c r="T42" s="25">
        <f t="shared" si="27"/>
        <v>1600</v>
      </c>
      <c r="U42" s="25">
        <f t="shared" si="1"/>
        <v>369600</v>
      </c>
      <c r="V42" s="7"/>
    </row>
    <row r="43" spans="1:22" ht="33.75">
      <c r="A43" s="5" t="s">
        <v>93</v>
      </c>
      <c r="B43" s="6" t="s">
        <v>94</v>
      </c>
      <c r="C43" s="6" t="s">
        <v>27</v>
      </c>
      <c r="D43" s="11" t="s">
        <v>95</v>
      </c>
      <c r="E43" s="25">
        <f>E62*400</f>
        <v>46800</v>
      </c>
      <c r="F43" s="25">
        <f t="shared" ref="F43:T43" si="28">F62*400</f>
        <v>28400</v>
      </c>
      <c r="G43" s="25">
        <f t="shared" si="28"/>
        <v>28400</v>
      </c>
      <c r="H43" s="25">
        <f t="shared" si="28"/>
        <v>38000</v>
      </c>
      <c r="I43" s="25">
        <f t="shared" si="28"/>
        <v>26400</v>
      </c>
      <c r="J43" s="25">
        <f t="shared" si="28"/>
        <v>24400</v>
      </c>
      <c r="K43" s="25">
        <f t="shared" si="28"/>
        <v>46000</v>
      </c>
      <c r="L43" s="25">
        <f t="shared" si="28"/>
        <v>21200</v>
      </c>
      <c r="M43" s="25">
        <f t="shared" si="28"/>
        <v>16000</v>
      </c>
      <c r="N43" s="25">
        <f t="shared" si="28"/>
        <v>28400</v>
      </c>
      <c r="O43" s="25">
        <f t="shared" si="28"/>
        <v>17600</v>
      </c>
      <c r="P43" s="25">
        <f t="shared" si="28"/>
        <v>18000</v>
      </c>
      <c r="Q43" s="25">
        <f t="shared" si="28"/>
        <v>15600</v>
      </c>
      <c r="R43" s="25">
        <f t="shared" si="28"/>
        <v>7200</v>
      </c>
      <c r="S43" s="25">
        <f t="shared" si="28"/>
        <v>5600</v>
      </c>
      <c r="T43" s="25">
        <f t="shared" si="28"/>
        <v>1600</v>
      </c>
      <c r="U43" s="25">
        <f t="shared" si="1"/>
        <v>369600</v>
      </c>
      <c r="V43" s="7"/>
    </row>
    <row r="44" spans="1:22" ht="12">
      <c r="A44" s="5" t="s">
        <v>96</v>
      </c>
      <c r="B44" s="6" t="s">
        <v>97</v>
      </c>
      <c r="C44" s="6"/>
      <c r="D44" s="7" t="s">
        <v>20</v>
      </c>
      <c r="E44" s="25">
        <f>E45</f>
        <v>369110.55</v>
      </c>
      <c r="F44" s="25">
        <f t="shared" ref="F44:T44" si="29">F45</f>
        <v>184792.19999999998</v>
      </c>
      <c r="G44" s="25">
        <f t="shared" si="29"/>
        <v>344669.55000000005</v>
      </c>
      <c r="H44" s="25">
        <f t="shared" si="29"/>
        <v>259299.59999999998</v>
      </c>
      <c r="I44" s="25">
        <f t="shared" si="29"/>
        <v>164731.20000000001</v>
      </c>
      <c r="J44" s="25">
        <f t="shared" si="29"/>
        <v>98189.25</v>
      </c>
      <c r="K44" s="25">
        <f t="shared" si="29"/>
        <v>310345.80000000005</v>
      </c>
      <c r="L44" s="25">
        <f t="shared" si="29"/>
        <v>141067.5</v>
      </c>
      <c r="M44" s="25">
        <f t="shared" si="29"/>
        <v>69733.350000000006</v>
      </c>
      <c r="N44" s="25">
        <f t="shared" si="29"/>
        <v>227811.15</v>
      </c>
      <c r="O44" s="25">
        <f t="shared" si="29"/>
        <v>128985.9</v>
      </c>
      <c r="P44" s="25">
        <f t="shared" si="29"/>
        <v>177441.15</v>
      </c>
      <c r="Q44" s="25">
        <f t="shared" si="29"/>
        <v>119210.85</v>
      </c>
      <c r="R44" s="25">
        <f t="shared" si="29"/>
        <v>85861.8</v>
      </c>
      <c r="S44" s="25">
        <f t="shared" si="29"/>
        <v>114450</v>
      </c>
      <c r="T44" s="25">
        <f t="shared" si="29"/>
        <v>0</v>
      </c>
      <c r="U44" s="25">
        <f t="shared" si="1"/>
        <v>2795699.8499999996</v>
      </c>
      <c r="V44" s="7"/>
    </row>
    <row r="45" spans="1:22" ht="33.75">
      <c r="A45" s="5" t="s">
        <v>98</v>
      </c>
      <c r="B45" s="6" t="s">
        <v>99</v>
      </c>
      <c r="C45" s="6" t="s">
        <v>27</v>
      </c>
      <c r="D45" s="11" t="s">
        <v>100</v>
      </c>
      <c r="E45" s="25">
        <f>E73*15</f>
        <v>369110.55</v>
      </c>
      <c r="F45" s="25">
        <f t="shared" ref="F45:T45" si="30">F73*15</f>
        <v>184792.19999999998</v>
      </c>
      <c r="G45" s="25">
        <f t="shared" si="30"/>
        <v>344669.55000000005</v>
      </c>
      <c r="H45" s="25">
        <f t="shared" si="30"/>
        <v>259299.59999999998</v>
      </c>
      <c r="I45" s="25">
        <f t="shared" si="30"/>
        <v>164731.20000000001</v>
      </c>
      <c r="J45" s="25">
        <f t="shared" si="30"/>
        <v>98189.25</v>
      </c>
      <c r="K45" s="25">
        <f t="shared" si="30"/>
        <v>310345.80000000005</v>
      </c>
      <c r="L45" s="25">
        <f t="shared" si="30"/>
        <v>141067.5</v>
      </c>
      <c r="M45" s="25">
        <f t="shared" si="30"/>
        <v>69733.350000000006</v>
      </c>
      <c r="N45" s="25">
        <f t="shared" si="30"/>
        <v>227811.15</v>
      </c>
      <c r="O45" s="25">
        <f t="shared" si="30"/>
        <v>128985.9</v>
      </c>
      <c r="P45" s="25">
        <f t="shared" si="30"/>
        <v>177441.15</v>
      </c>
      <c r="Q45" s="25">
        <f t="shared" si="30"/>
        <v>119210.85</v>
      </c>
      <c r="R45" s="25">
        <f t="shared" si="30"/>
        <v>85861.8</v>
      </c>
      <c r="S45" s="25">
        <f t="shared" si="30"/>
        <v>114450</v>
      </c>
      <c r="T45" s="25">
        <f t="shared" si="30"/>
        <v>0</v>
      </c>
      <c r="U45" s="25">
        <f t="shared" si="1"/>
        <v>2795699.8499999996</v>
      </c>
      <c r="V45" s="7"/>
    </row>
    <row r="46" spans="1:22" ht="12">
      <c r="A46" s="5" t="s">
        <v>101</v>
      </c>
      <c r="B46" s="6" t="s">
        <v>102</v>
      </c>
      <c r="C46" s="6"/>
      <c r="D46" s="7" t="s">
        <v>20</v>
      </c>
      <c r="E46" s="25">
        <f>E47</f>
        <v>105904</v>
      </c>
      <c r="F46" s="25">
        <f t="shared" ref="F46:T46" si="31">F47</f>
        <v>28240</v>
      </c>
      <c r="G46" s="25">
        <f t="shared" si="31"/>
        <v>76487.600000000006</v>
      </c>
      <c r="H46" s="25">
        <f t="shared" si="31"/>
        <v>70433.600000000006</v>
      </c>
      <c r="I46" s="25">
        <f t="shared" si="31"/>
        <v>76688</v>
      </c>
      <c r="J46" s="25">
        <f t="shared" si="31"/>
        <v>31192</v>
      </c>
      <c r="K46" s="25">
        <f t="shared" si="31"/>
        <v>97640</v>
      </c>
      <c r="L46" s="25">
        <f t="shared" si="31"/>
        <v>33144</v>
      </c>
      <c r="M46" s="25">
        <f t="shared" si="31"/>
        <v>19888</v>
      </c>
      <c r="N46" s="25">
        <f t="shared" si="31"/>
        <v>42522.8</v>
      </c>
      <c r="O46" s="25">
        <f t="shared" si="31"/>
        <v>28344</v>
      </c>
      <c r="P46" s="25">
        <f t="shared" si="31"/>
        <v>34789.599999999999</v>
      </c>
      <c r="Q46" s="25">
        <f t="shared" si="31"/>
        <v>45420.800000000003</v>
      </c>
      <c r="R46" s="25">
        <f t="shared" si="31"/>
        <v>15715.2</v>
      </c>
      <c r="S46" s="25">
        <f t="shared" si="31"/>
        <v>21436</v>
      </c>
      <c r="T46" s="25">
        <f t="shared" si="31"/>
        <v>0</v>
      </c>
      <c r="U46" s="25">
        <f t="shared" si="1"/>
        <v>727845.6</v>
      </c>
      <c r="V46" s="7"/>
    </row>
    <row r="47" spans="1:22" ht="33.75">
      <c r="A47" s="5" t="s">
        <v>103</v>
      </c>
      <c r="B47" s="6" t="s">
        <v>104</v>
      </c>
      <c r="C47" s="6" t="s">
        <v>27</v>
      </c>
      <c r="D47" s="11" t="s">
        <v>105</v>
      </c>
      <c r="E47" s="25">
        <f>E74*8</f>
        <v>105904</v>
      </c>
      <c r="F47" s="25">
        <f t="shared" ref="F47:T47" si="32">F74*8</f>
        <v>28240</v>
      </c>
      <c r="G47" s="25">
        <f t="shared" si="32"/>
        <v>76487.600000000006</v>
      </c>
      <c r="H47" s="25">
        <f t="shared" si="32"/>
        <v>70433.600000000006</v>
      </c>
      <c r="I47" s="25">
        <f t="shared" si="32"/>
        <v>76688</v>
      </c>
      <c r="J47" s="25">
        <f t="shared" si="32"/>
        <v>31192</v>
      </c>
      <c r="K47" s="25">
        <f t="shared" si="32"/>
        <v>97640</v>
      </c>
      <c r="L47" s="25">
        <f t="shared" si="32"/>
        <v>33144</v>
      </c>
      <c r="M47" s="25">
        <f t="shared" si="32"/>
        <v>19888</v>
      </c>
      <c r="N47" s="25">
        <f t="shared" si="32"/>
        <v>42522.8</v>
      </c>
      <c r="O47" s="25">
        <f t="shared" si="32"/>
        <v>28344</v>
      </c>
      <c r="P47" s="25">
        <f t="shared" si="32"/>
        <v>34789.599999999999</v>
      </c>
      <c r="Q47" s="25">
        <f t="shared" si="32"/>
        <v>45420.800000000003</v>
      </c>
      <c r="R47" s="25">
        <f t="shared" si="32"/>
        <v>15715.2</v>
      </c>
      <c r="S47" s="25">
        <f t="shared" si="32"/>
        <v>21436</v>
      </c>
      <c r="T47" s="25">
        <f t="shared" si="32"/>
        <v>0</v>
      </c>
      <c r="U47" s="25">
        <f t="shared" si="1"/>
        <v>727845.6</v>
      </c>
      <c r="V47" s="7"/>
    </row>
    <row r="48" spans="1:22" ht="12">
      <c r="A48" s="5" t="s">
        <v>106</v>
      </c>
      <c r="B48" s="6" t="s">
        <v>288</v>
      </c>
      <c r="C48" s="6"/>
      <c r="D48" s="7" t="s">
        <v>20</v>
      </c>
      <c r="E48" s="25">
        <f>E49+E50</f>
        <v>1209600</v>
      </c>
      <c r="F48" s="25">
        <f t="shared" ref="F48:T48" si="33">F49+F50</f>
        <v>488160</v>
      </c>
      <c r="G48" s="25">
        <f t="shared" si="33"/>
        <v>488160</v>
      </c>
      <c r="H48" s="25">
        <f t="shared" si="33"/>
        <v>414720</v>
      </c>
      <c r="I48" s="25">
        <f t="shared" si="33"/>
        <v>552960</v>
      </c>
      <c r="J48" s="25">
        <f t="shared" si="33"/>
        <v>410400</v>
      </c>
      <c r="K48" s="25">
        <f t="shared" si="33"/>
        <v>609120</v>
      </c>
      <c r="L48" s="25">
        <f t="shared" si="33"/>
        <v>341280</v>
      </c>
      <c r="M48" s="25">
        <f t="shared" si="33"/>
        <v>228960</v>
      </c>
      <c r="N48" s="25">
        <f t="shared" si="33"/>
        <v>345600</v>
      </c>
      <c r="O48" s="25">
        <f t="shared" si="33"/>
        <v>216000</v>
      </c>
      <c r="P48" s="25">
        <f t="shared" si="33"/>
        <v>194400</v>
      </c>
      <c r="Q48" s="25">
        <f t="shared" si="33"/>
        <v>168480</v>
      </c>
      <c r="R48" s="25">
        <f t="shared" si="33"/>
        <v>77760</v>
      </c>
      <c r="S48" s="25">
        <f t="shared" si="33"/>
        <v>60480</v>
      </c>
      <c r="T48" s="25">
        <f t="shared" si="33"/>
        <v>34560</v>
      </c>
      <c r="U48" s="25">
        <f t="shared" si="1"/>
        <v>5840640</v>
      </c>
      <c r="V48" s="7"/>
    </row>
    <row r="49" spans="1:22" ht="33.75">
      <c r="A49" s="5" t="s">
        <v>107</v>
      </c>
      <c r="B49" s="6" t="s">
        <v>289</v>
      </c>
      <c r="C49" s="6" t="s">
        <v>27</v>
      </c>
      <c r="D49" s="11" t="s">
        <v>108</v>
      </c>
      <c r="E49" s="25">
        <f>E62*4320</f>
        <v>505440</v>
      </c>
      <c r="F49" s="25">
        <f t="shared" ref="F49:T49" si="34">F62*4320</f>
        <v>306720</v>
      </c>
      <c r="G49" s="25">
        <f t="shared" si="34"/>
        <v>306720</v>
      </c>
      <c r="H49" s="25">
        <f t="shared" si="34"/>
        <v>410400</v>
      </c>
      <c r="I49" s="25">
        <f t="shared" si="34"/>
        <v>285120</v>
      </c>
      <c r="J49" s="25">
        <f t="shared" si="34"/>
        <v>263520</v>
      </c>
      <c r="K49" s="25">
        <f t="shared" si="34"/>
        <v>496800</v>
      </c>
      <c r="L49" s="25">
        <f t="shared" si="34"/>
        <v>228960</v>
      </c>
      <c r="M49" s="25">
        <f t="shared" si="34"/>
        <v>172800</v>
      </c>
      <c r="N49" s="25">
        <f t="shared" si="34"/>
        <v>306720</v>
      </c>
      <c r="O49" s="25">
        <f t="shared" si="34"/>
        <v>190080</v>
      </c>
      <c r="P49" s="25">
        <f t="shared" si="34"/>
        <v>194400</v>
      </c>
      <c r="Q49" s="25">
        <f t="shared" si="34"/>
        <v>168480</v>
      </c>
      <c r="R49" s="25">
        <f t="shared" si="34"/>
        <v>77760</v>
      </c>
      <c r="S49" s="25">
        <f t="shared" si="34"/>
        <v>60480</v>
      </c>
      <c r="T49" s="25">
        <f t="shared" si="34"/>
        <v>17280</v>
      </c>
      <c r="U49" s="25">
        <f t="shared" si="1"/>
        <v>3991680</v>
      </c>
      <c r="V49" s="7"/>
    </row>
    <row r="50" spans="1:22" ht="33.75">
      <c r="A50" s="5" t="s">
        <v>109</v>
      </c>
      <c r="B50" s="6" t="s">
        <v>290</v>
      </c>
      <c r="C50" s="6" t="s">
        <v>27</v>
      </c>
      <c r="D50" s="11" t="s">
        <v>291</v>
      </c>
      <c r="E50" s="25">
        <f>E72*4320</f>
        <v>704160</v>
      </c>
      <c r="F50" s="25">
        <f t="shared" ref="F50:T50" si="35">F72*4320</f>
        <v>181440</v>
      </c>
      <c r="G50" s="25">
        <f t="shared" si="35"/>
        <v>181440</v>
      </c>
      <c r="H50" s="25">
        <f t="shared" si="35"/>
        <v>4320</v>
      </c>
      <c r="I50" s="25">
        <f t="shared" si="35"/>
        <v>267840</v>
      </c>
      <c r="J50" s="25">
        <f t="shared" si="35"/>
        <v>146880</v>
      </c>
      <c r="K50" s="25">
        <f t="shared" si="35"/>
        <v>112320</v>
      </c>
      <c r="L50" s="25">
        <f t="shared" si="35"/>
        <v>112320</v>
      </c>
      <c r="M50" s="25">
        <f t="shared" si="35"/>
        <v>56160</v>
      </c>
      <c r="N50" s="25">
        <f t="shared" si="35"/>
        <v>38880</v>
      </c>
      <c r="O50" s="25">
        <f t="shared" si="35"/>
        <v>25920</v>
      </c>
      <c r="P50" s="25">
        <f t="shared" si="35"/>
        <v>0</v>
      </c>
      <c r="Q50" s="25">
        <f t="shared" si="35"/>
        <v>0</v>
      </c>
      <c r="R50" s="25">
        <f t="shared" si="35"/>
        <v>0</v>
      </c>
      <c r="S50" s="25">
        <f t="shared" si="35"/>
        <v>0</v>
      </c>
      <c r="T50" s="25">
        <f t="shared" si="35"/>
        <v>17280</v>
      </c>
      <c r="U50" s="25">
        <f t="shared" si="1"/>
        <v>1848960</v>
      </c>
      <c r="V50" s="7"/>
    </row>
    <row r="51" spans="1:22" ht="12">
      <c r="A51" s="5" t="s">
        <v>110</v>
      </c>
      <c r="B51" s="6" t="s">
        <v>292</v>
      </c>
      <c r="C51" s="6"/>
      <c r="D51" s="7" t="s">
        <v>20</v>
      </c>
      <c r="E51" s="25">
        <f>E52</f>
        <v>595549.71</v>
      </c>
      <c r="F51" s="25">
        <f t="shared" ref="F51:T51" si="36">F52</f>
        <v>384000</v>
      </c>
      <c r="G51" s="25">
        <f t="shared" si="36"/>
        <v>359424</v>
      </c>
      <c r="H51" s="25">
        <f t="shared" si="36"/>
        <v>472666.29</v>
      </c>
      <c r="I51" s="25">
        <f t="shared" si="36"/>
        <v>292755.43</v>
      </c>
      <c r="J51" s="25">
        <f t="shared" si="36"/>
        <v>300908.57</v>
      </c>
      <c r="K51" s="25">
        <f t="shared" si="36"/>
        <v>550152</v>
      </c>
      <c r="L51" s="25">
        <f t="shared" si="36"/>
        <v>239002.29</v>
      </c>
      <c r="M51" s="25">
        <f t="shared" si="36"/>
        <v>166141.71</v>
      </c>
      <c r="N51" s="25">
        <f t="shared" si="36"/>
        <v>307388.57</v>
      </c>
      <c r="O51" s="25">
        <f t="shared" si="36"/>
        <v>191688</v>
      </c>
      <c r="P51" s="25">
        <f t="shared" si="36"/>
        <v>201195.43</v>
      </c>
      <c r="Q51" s="25">
        <f t="shared" si="36"/>
        <v>168709.71</v>
      </c>
      <c r="R51" s="25">
        <f t="shared" si="36"/>
        <v>77897.14</v>
      </c>
      <c r="S51" s="25">
        <f t="shared" si="36"/>
        <v>59787.43</v>
      </c>
      <c r="T51" s="25">
        <f t="shared" si="36"/>
        <v>20862.86</v>
      </c>
      <c r="U51" s="25">
        <f t="shared" si="1"/>
        <v>4388129.1399999997</v>
      </c>
      <c r="V51" s="7"/>
    </row>
    <row r="52" spans="1:22" ht="22.5">
      <c r="A52" s="5" t="s">
        <v>111</v>
      </c>
      <c r="B52" s="6" t="s">
        <v>112</v>
      </c>
      <c r="C52" s="6" t="s">
        <v>27</v>
      </c>
      <c r="D52" s="7" t="s">
        <v>42</v>
      </c>
      <c r="E52" s="25">
        <f>ROUND(E30/0.07*0.02,2)</f>
        <v>595549.71</v>
      </c>
      <c r="F52" s="25">
        <f t="shared" ref="F52:T52" si="37">ROUND(F30/0.07*0.02,2)</f>
        <v>384000</v>
      </c>
      <c r="G52" s="25">
        <f t="shared" si="37"/>
        <v>359424</v>
      </c>
      <c r="H52" s="25">
        <f t="shared" si="37"/>
        <v>472666.29</v>
      </c>
      <c r="I52" s="25">
        <f t="shared" si="37"/>
        <v>292755.43</v>
      </c>
      <c r="J52" s="25">
        <f t="shared" si="37"/>
        <v>300908.57</v>
      </c>
      <c r="K52" s="25">
        <f t="shared" si="37"/>
        <v>550152</v>
      </c>
      <c r="L52" s="25">
        <f t="shared" si="37"/>
        <v>239002.29</v>
      </c>
      <c r="M52" s="25">
        <f t="shared" si="37"/>
        <v>166141.71</v>
      </c>
      <c r="N52" s="25">
        <f t="shared" si="37"/>
        <v>307388.57</v>
      </c>
      <c r="O52" s="25">
        <f t="shared" si="37"/>
        <v>191688</v>
      </c>
      <c r="P52" s="25">
        <f t="shared" si="37"/>
        <v>201195.43</v>
      </c>
      <c r="Q52" s="25">
        <f t="shared" si="37"/>
        <v>168709.71</v>
      </c>
      <c r="R52" s="25">
        <f t="shared" si="37"/>
        <v>77897.14</v>
      </c>
      <c r="S52" s="25">
        <f t="shared" si="37"/>
        <v>59787.43</v>
      </c>
      <c r="T52" s="25">
        <f t="shared" si="37"/>
        <v>20862.86</v>
      </c>
      <c r="U52" s="25">
        <f t="shared" si="1"/>
        <v>4388129.1399999997</v>
      </c>
      <c r="V52" s="7"/>
    </row>
    <row r="53" spans="1:22" ht="12">
      <c r="A53" s="5" t="s">
        <v>113</v>
      </c>
      <c r="B53" s="6" t="s">
        <v>293</v>
      </c>
      <c r="C53" s="6"/>
      <c r="D53" s="7" t="s">
        <v>20</v>
      </c>
      <c r="E53" s="25">
        <f>E54</f>
        <v>32000</v>
      </c>
      <c r="F53" s="25">
        <f t="shared" ref="F53:T53" si="38">F54</f>
        <v>32000</v>
      </c>
      <c r="G53" s="25">
        <f t="shared" si="38"/>
        <v>32000</v>
      </c>
      <c r="H53" s="25">
        <f t="shared" si="38"/>
        <v>0</v>
      </c>
      <c r="I53" s="25">
        <f t="shared" si="38"/>
        <v>32000</v>
      </c>
      <c r="J53" s="25">
        <f t="shared" si="38"/>
        <v>25000</v>
      </c>
      <c r="K53" s="25">
        <f t="shared" si="38"/>
        <v>25000</v>
      </c>
      <c r="L53" s="25">
        <f t="shared" si="38"/>
        <v>32000</v>
      </c>
      <c r="M53" s="25">
        <f t="shared" si="38"/>
        <v>32000</v>
      </c>
      <c r="N53" s="25">
        <f t="shared" si="38"/>
        <v>0</v>
      </c>
      <c r="O53" s="25">
        <f t="shared" si="38"/>
        <v>0</v>
      </c>
      <c r="P53" s="25">
        <f t="shared" si="38"/>
        <v>0</v>
      </c>
      <c r="Q53" s="25">
        <f t="shared" si="38"/>
        <v>0</v>
      </c>
      <c r="R53" s="25">
        <f t="shared" si="38"/>
        <v>0</v>
      </c>
      <c r="S53" s="25">
        <f t="shared" si="38"/>
        <v>0</v>
      </c>
      <c r="T53" s="25">
        <f t="shared" si="38"/>
        <v>0</v>
      </c>
      <c r="U53" s="25">
        <f t="shared" si="1"/>
        <v>242000</v>
      </c>
      <c r="V53" s="7"/>
    </row>
    <row r="54" spans="1:22" ht="90">
      <c r="A54" s="5" t="s">
        <v>114</v>
      </c>
      <c r="B54" s="6" t="s">
        <v>115</v>
      </c>
      <c r="C54" s="6" t="s">
        <v>27</v>
      </c>
      <c r="D54" s="11" t="s">
        <v>294</v>
      </c>
      <c r="E54" s="24">
        <v>32000</v>
      </c>
      <c r="F54" s="24">
        <v>32000</v>
      </c>
      <c r="G54" s="24">
        <v>32000</v>
      </c>
      <c r="H54" s="24"/>
      <c r="I54" s="24">
        <v>32000</v>
      </c>
      <c r="J54" s="24">
        <v>25000</v>
      </c>
      <c r="K54" s="24">
        <v>25000</v>
      </c>
      <c r="L54" s="24">
        <v>32000</v>
      </c>
      <c r="M54" s="24">
        <v>32000</v>
      </c>
      <c r="N54" s="24"/>
      <c r="O54" s="24"/>
      <c r="P54" s="24"/>
      <c r="Q54" s="24"/>
      <c r="R54" s="24"/>
      <c r="S54" s="24"/>
      <c r="T54" s="24"/>
      <c r="U54" s="25">
        <f t="shared" si="1"/>
        <v>242000</v>
      </c>
      <c r="V54" s="7"/>
    </row>
    <row r="55" spans="1:22" ht="12">
      <c r="A55" s="5" t="s">
        <v>116</v>
      </c>
      <c r="B55" s="6" t="s">
        <v>295</v>
      </c>
      <c r="C55" s="6"/>
      <c r="D55" s="7" t="s">
        <v>20</v>
      </c>
      <c r="E55" s="25">
        <f>E56+E58</f>
        <v>70600</v>
      </c>
      <c r="F55" s="25">
        <f t="shared" ref="F55:T55" si="39">F56+F58</f>
        <v>21300</v>
      </c>
      <c r="G55" s="25">
        <f t="shared" si="39"/>
        <v>21600</v>
      </c>
      <c r="H55" s="25">
        <f t="shared" si="39"/>
        <v>5200</v>
      </c>
      <c r="I55" s="25">
        <f t="shared" si="39"/>
        <v>28400</v>
      </c>
      <c r="J55" s="25">
        <f t="shared" si="39"/>
        <v>18400</v>
      </c>
      <c r="K55" s="25">
        <f t="shared" si="39"/>
        <v>18200</v>
      </c>
      <c r="L55" s="25">
        <f t="shared" si="39"/>
        <v>14400</v>
      </c>
      <c r="M55" s="25">
        <f t="shared" si="39"/>
        <v>7000</v>
      </c>
      <c r="N55" s="25">
        <f t="shared" si="39"/>
        <v>7400</v>
      </c>
      <c r="O55" s="25">
        <f t="shared" si="39"/>
        <v>6600</v>
      </c>
      <c r="P55" s="25">
        <f t="shared" si="39"/>
        <v>3600</v>
      </c>
      <c r="Q55" s="25">
        <f t="shared" si="39"/>
        <v>3000</v>
      </c>
      <c r="R55" s="25">
        <f t="shared" si="39"/>
        <v>3000</v>
      </c>
      <c r="S55" s="25">
        <f t="shared" si="39"/>
        <v>1800</v>
      </c>
      <c r="T55" s="25">
        <f t="shared" si="39"/>
        <v>1600</v>
      </c>
      <c r="U55" s="25">
        <f t="shared" si="1"/>
        <v>232100</v>
      </c>
      <c r="V55" s="7"/>
    </row>
    <row r="56" spans="1:22" ht="12">
      <c r="A56" s="5" t="s">
        <v>117</v>
      </c>
      <c r="B56" s="6" t="s">
        <v>296</v>
      </c>
      <c r="C56" s="6" t="s">
        <v>27</v>
      </c>
      <c r="D56" s="7" t="s">
        <v>20</v>
      </c>
      <c r="E56" s="25">
        <f>E57</f>
        <v>65200</v>
      </c>
      <c r="F56" s="25">
        <f t="shared" ref="F56:T56" si="40">F57</f>
        <v>16800</v>
      </c>
      <c r="G56" s="25">
        <f t="shared" si="40"/>
        <v>16800</v>
      </c>
      <c r="H56" s="25">
        <f t="shared" si="40"/>
        <v>400</v>
      </c>
      <c r="I56" s="25">
        <f t="shared" si="40"/>
        <v>24800</v>
      </c>
      <c r="J56" s="25">
        <f t="shared" si="40"/>
        <v>13600</v>
      </c>
      <c r="K56" s="25">
        <f t="shared" si="40"/>
        <v>10400</v>
      </c>
      <c r="L56" s="25">
        <f t="shared" si="40"/>
        <v>10400</v>
      </c>
      <c r="M56" s="25">
        <f t="shared" si="40"/>
        <v>5200</v>
      </c>
      <c r="N56" s="25">
        <f t="shared" si="40"/>
        <v>3600</v>
      </c>
      <c r="O56" s="25">
        <f t="shared" si="40"/>
        <v>2400</v>
      </c>
      <c r="P56" s="25">
        <f t="shared" si="40"/>
        <v>0</v>
      </c>
      <c r="Q56" s="25">
        <f t="shared" si="40"/>
        <v>0</v>
      </c>
      <c r="R56" s="25">
        <f t="shared" si="40"/>
        <v>0</v>
      </c>
      <c r="S56" s="25">
        <f t="shared" si="40"/>
        <v>0</v>
      </c>
      <c r="T56" s="25">
        <f t="shared" si="40"/>
        <v>1600</v>
      </c>
      <c r="U56" s="25">
        <f t="shared" si="1"/>
        <v>171200</v>
      </c>
      <c r="V56" s="7"/>
    </row>
    <row r="57" spans="1:22" ht="45">
      <c r="A57" s="5" t="s">
        <v>118</v>
      </c>
      <c r="B57" s="6" t="s">
        <v>119</v>
      </c>
      <c r="C57" s="6" t="s">
        <v>27</v>
      </c>
      <c r="D57" s="11" t="s">
        <v>297</v>
      </c>
      <c r="E57" s="25">
        <f>E72*400</f>
        <v>65200</v>
      </c>
      <c r="F57" s="25">
        <f t="shared" ref="F57:T57" si="41">F72*400</f>
        <v>16800</v>
      </c>
      <c r="G57" s="25">
        <f t="shared" si="41"/>
        <v>16800</v>
      </c>
      <c r="H57" s="25">
        <f t="shared" si="41"/>
        <v>400</v>
      </c>
      <c r="I57" s="25">
        <f t="shared" si="41"/>
        <v>24800</v>
      </c>
      <c r="J57" s="25">
        <f t="shared" si="41"/>
        <v>13600</v>
      </c>
      <c r="K57" s="25">
        <f t="shared" si="41"/>
        <v>10400</v>
      </c>
      <c r="L57" s="25">
        <f t="shared" si="41"/>
        <v>10400</v>
      </c>
      <c r="M57" s="25">
        <f t="shared" si="41"/>
        <v>5200</v>
      </c>
      <c r="N57" s="25">
        <f t="shared" si="41"/>
        <v>3600</v>
      </c>
      <c r="O57" s="25">
        <f t="shared" si="41"/>
        <v>2400</v>
      </c>
      <c r="P57" s="25">
        <f t="shared" si="41"/>
        <v>0</v>
      </c>
      <c r="Q57" s="25">
        <f t="shared" si="41"/>
        <v>0</v>
      </c>
      <c r="R57" s="25">
        <f t="shared" si="41"/>
        <v>0</v>
      </c>
      <c r="S57" s="25">
        <f t="shared" si="41"/>
        <v>0</v>
      </c>
      <c r="T57" s="25">
        <f t="shared" si="41"/>
        <v>1600</v>
      </c>
      <c r="U57" s="25">
        <f t="shared" si="1"/>
        <v>171200</v>
      </c>
      <c r="V57" s="7"/>
    </row>
    <row r="58" spans="1:22" ht="12">
      <c r="A58" s="5" t="s">
        <v>120</v>
      </c>
      <c r="B58" s="6" t="s">
        <v>298</v>
      </c>
      <c r="C58" s="6" t="s">
        <v>27</v>
      </c>
      <c r="D58" s="11" t="s">
        <v>121</v>
      </c>
      <c r="E58" s="1">
        <v>5400</v>
      </c>
      <c r="F58" s="1">
        <v>4500</v>
      </c>
      <c r="G58" s="1">
        <v>4800</v>
      </c>
      <c r="H58" s="1">
        <v>4800</v>
      </c>
      <c r="I58" s="1">
        <v>3600</v>
      </c>
      <c r="J58" s="1">
        <v>4800</v>
      </c>
      <c r="K58" s="1">
        <v>7800</v>
      </c>
      <c r="L58" s="24">
        <v>4000</v>
      </c>
      <c r="M58" s="1">
        <v>1800</v>
      </c>
      <c r="N58" s="24">
        <v>3800</v>
      </c>
      <c r="O58" s="1">
        <v>4200</v>
      </c>
      <c r="P58" s="1">
        <v>3600</v>
      </c>
      <c r="Q58" s="1">
        <v>3000</v>
      </c>
      <c r="R58" s="1">
        <v>3000</v>
      </c>
      <c r="S58" s="1">
        <v>1800</v>
      </c>
      <c r="T58" s="1"/>
      <c r="U58" s="25">
        <f t="shared" si="1"/>
        <v>60900</v>
      </c>
      <c r="V58" s="7"/>
    </row>
    <row r="59" spans="1:22" ht="12">
      <c r="A59" s="5" t="s">
        <v>122</v>
      </c>
      <c r="B59" s="6" t="s">
        <v>299</v>
      </c>
      <c r="C59" s="6"/>
      <c r="D59" s="7" t="s">
        <v>20</v>
      </c>
      <c r="E59" s="25">
        <f>E60</f>
        <v>20000</v>
      </c>
      <c r="F59" s="25">
        <f t="shared" ref="F59:T59" si="42">F60</f>
        <v>0</v>
      </c>
      <c r="G59" s="25">
        <f t="shared" si="42"/>
        <v>0</v>
      </c>
      <c r="H59" s="25">
        <f t="shared" si="42"/>
        <v>32000</v>
      </c>
      <c r="I59" s="25">
        <f t="shared" si="42"/>
        <v>0</v>
      </c>
      <c r="J59" s="25">
        <f t="shared" si="42"/>
        <v>0</v>
      </c>
      <c r="K59" s="25">
        <f t="shared" si="42"/>
        <v>10000</v>
      </c>
      <c r="L59" s="25">
        <f t="shared" si="42"/>
        <v>10000</v>
      </c>
      <c r="M59" s="25">
        <f t="shared" si="42"/>
        <v>5000</v>
      </c>
      <c r="N59" s="25">
        <f t="shared" si="42"/>
        <v>32000</v>
      </c>
      <c r="O59" s="25">
        <f t="shared" si="42"/>
        <v>32000</v>
      </c>
      <c r="P59" s="25">
        <f t="shared" si="42"/>
        <v>32000</v>
      </c>
      <c r="Q59" s="25">
        <f t="shared" si="42"/>
        <v>32000</v>
      </c>
      <c r="R59" s="25">
        <f t="shared" si="42"/>
        <v>32000</v>
      </c>
      <c r="S59" s="25">
        <f t="shared" si="42"/>
        <v>32000</v>
      </c>
      <c r="T59" s="25">
        <f t="shared" si="42"/>
        <v>32000</v>
      </c>
      <c r="U59" s="25">
        <f t="shared" si="1"/>
        <v>301000</v>
      </c>
      <c r="V59" s="7"/>
    </row>
    <row r="60" spans="1:22" ht="135.75" thickBot="1">
      <c r="A60" s="5" t="s">
        <v>123</v>
      </c>
      <c r="B60" s="13" t="s">
        <v>124</v>
      </c>
      <c r="C60" s="6" t="s">
        <v>27</v>
      </c>
      <c r="D60" s="14" t="s">
        <v>300</v>
      </c>
      <c r="E60" s="26">
        <v>20000</v>
      </c>
      <c r="F60" s="26"/>
      <c r="G60" s="26"/>
      <c r="H60" s="26">
        <v>32000</v>
      </c>
      <c r="I60" s="26"/>
      <c r="J60" s="26"/>
      <c r="K60" s="26">
        <v>10000</v>
      </c>
      <c r="L60" s="26">
        <v>10000</v>
      </c>
      <c r="M60" s="26">
        <v>5000</v>
      </c>
      <c r="N60" s="26">
        <v>32000</v>
      </c>
      <c r="O60" s="26">
        <v>32000</v>
      </c>
      <c r="P60" s="26">
        <v>32000</v>
      </c>
      <c r="Q60" s="26">
        <v>32000</v>
      </c>
      <c r="R60" s="26">
        <v>32000</v>
      </c>
      <c r="S60" s="26">
        <v>32000</v>
      </c>
      <c r="T60" s="26">
        <v>32000</v>
      </c>
      <c r="U60" s="25">
        <f t="shared" si="1"/>
        <v>301000</v>
      </c>
      <c r="V60" s="15"/>
    </row>
    <row r="61" spans="1:22" ht="12.75" thickTop="1">
      <c r="A61" s="5" t="s">
        <v>125</v>
      </c>
      <c r="B61" s="16" t="s">
        <v>126</v>
      </c>
      <c r="C61" s="16"/>
      <c r="D61" s="1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5">
        <f t="shared" si="1"/>
        <v>0</v>
      </c>
      <c r="V61" s="19"/>
    </row>
    <row r="62" spans="1:22" ht="33.75">
      <c r="A62" s="5" t="s">
        <v>127</v>
      </c>
      <c r="B62" s="6" t="s">
        <v>128</v>
      </c>
      <c r="C62" s="6"/>
      <c r="D62" s="7" t="s">
        <v>301</v>
      </c>
      <c r="E62" s="25">
        <f>E63+E64+E65+E66</f>
        <v>117</v>
      </c>
      <c r="F62" s="25">
        <f t="shared" ref="F62:T62" si="43">F63+F64+F65+F66</f>
        <v>71</v>
      </c>
      <c r="G62" s="25">
        <f t="shared" si="43"/>
        <v>71</v>
      </c>
      <c r="H62" s="25">
        <f t="shared" si="43"/>
        <v>95</v>
      </c>
      <c r="I62" s="25">
        <f t="shared" si="43"/>
        <v>66</v>
      </c>
      <c r="J62" s="25">
        <f t="shared" si="43"/>
        <v>61</v>
      </c>
      <c r="K62" s="25">
        <f t="shared" si="43"/>
        <v>115</v>
      </c>
      <c r="L62" s="25">
        <f t="shared" si="43"/>
        <v>53</v>
      </c>
      <c r="M62" s="25">
        <f t="shared" si="43"/>
        <v>40</v>
      </c>
      <c r="N62" s="25">
        <f t="shared" si="43"/>
        <v>71</v>
      </c>
      <c r="O62" s="25">
        <f t="shared" si="43"/>
        <v>44</v>
      </c>
      <c r="P62" s="25">
        <f t="shared" si="43"/>
        <v>45</v>
      </c>
      <c r="Q62" s="25">
        <f t="shared" si="43"/>
        <v>39</v>
      </c>
      <c r="R62" s="25">
        <f t="shared" si="43"/>
        <v>18</v>
      </c>
      <c r="S62" s="25">
        <f t="shared" si="43"/>
        <v>14</v>
      </c>
      <c r="T62" s="25">
        <f t="shared" si="43"/>
        <v>4</v>
      </c>
      <c r="U62" s="25">
        <f t="shared" si="1"/>
        <v>924</v>
      </c>
      <c r="V62" s="7"/>
    </row>
    <row r="63" spans="1:22" ht="12">
      <c r="A63" s="5" t="s">
        <v>129</v>
      </c>
      <c r="B63" s="20" t="s">
        <v>130</v>
      </c>
      <c r="C63" s="20"/>
      <c r="D63" s="7"/>
      <c r="E63" s="24">
        <v>55</v>
      </c>
      <c r="F63" s="24">
        <v>71</v>
      </c>
      <c r="G63" s="24">
        <v>71</v>
      </c>
      <c r="H63" s="24">
        <v>95</v>
      </c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5">
        <f t="shared" si="1"/>
        <v>292</v>
      </c>
      <c r="V63" s="7"/>
    </row>
    <row r="64" spans="1:22" ht="12">
      <c r="A64" s="5" t="s">
        <v>131</v>
      </c>
      <c r="B64" s="20" t="s">
        <v>132</v>
      </c>
      <c r="C64" s="20"/>
      <c r="D64" s="7"/>
      <c r="E64" s="24">
        <v>62</v>
      </c>
      <c r="F64" s="24"/>
      <c r="G64" s="24"/>
      <c r="H64" s="24"/>
      <c r="I64" s="24">
        <v>66</v>
      </c>
      <c r="J64" s="24">
        <v>61</v>
      </c>
      <c r="K64" s="24">
        <v>115</v>
      </c>
      <c r="L64" s="24"/>
      <c r="M64" s="24"/>
      <c r="N64" s="24"/>
      <c r="O64" s="24"/>
      <c r="P64" s="24"/>
      <c r="Q64" s="24"/>
      <c r="R64" s="24"/>
      <c r="S64" s="24"/>
      <c r="T64" s="24"/>
      <c r="U64" s="25">
        <f t="shared" si="1"/>
        <v>304</v>
      </c>
      <c r="V64" s="7"/>
    </row>
    <row r="65" spans="1:22" ht="12">
      <c r="A65" s="5" t="s">
        <v>133</v>
      </c>
      <c r="B65" s="20" t="s">
        <v>134</v>
      </c>
      <c r="C65" s="20"/>
      <c r="D65" s="7"/>
      <c r="E65" s="24"/>
      <c r="F65" s="24"/>
      <c r="G65" s="24"/>
      <c r="H65" s="24"/>
      <c r="I65" s="24"/>
      <c r="J65" s="24"/>
      <c r="K65" s="24"/>
      <c r="L65" s="24">
        <v>53</v>
      </c>
      <c r="M65" s="24">
        <v>40</v>
      </c>
      <c r="N65" s="24">
        <v>71</v>
      </c>
      <c r="O65" s="24">
        <v>44</v>
      </c>
      <c r="P65" s="24">
        <v>45</v>
      </c>
      <c r="Q65" s="24">
        <v>39</v>
      </c>
      <c r="R65" s="24">
        <v>18</v>
      </c>
      <c r="S65" s="24">
        <v>14</v>
      </c>
      <c r="T65" s="24"/>
      <c r="U65" s="25">
        <f t="shared" si="1"/>
        <v>324</v>
      </c>
      <c r="V65" s="7"/>
    </row>
    <row r="66" spans="1:22" ht="12">
      <c r="A66" s="5" t="s">
        <v>135</v>
      </c>
      <c r="B66" s="20" t="s">
        <v>136</v>
      </c>
      <c r="C66" s="20"/>
      <c r="D66" s="7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>
        <v>4</v>
      </c>
      <c r="U66" s="25">
        <f t="shared" si="1"/>
        <v>4</v>
      </c>
      <c r="V66" s="7"/>
    </row>
    <row r="67" spans="1:22" ht="56.25">
      <c r="A67" s="5" t="s">
        <v>137</v>
      </c>
      <c r="B67" s="6" t="s">
        <v>138</v>
      </c>
      <c r="C67" s="6"/>
      <c r="D67" s="7" t="s">
        <v>302</v>
      </c>
      <c r="E67" s="25">
        <f>E68+E69+E70+E71</f>
        <v>1436</v>
      </c>
      <c r="F67" s="25">
        <f t="shared" ref="F67:T67" si="44">F68+F69+F70+F71</f>
        <v>1080</v>
      </c>
      <c r="G67" s="25">
        <f t="shared" si="44"/>
        <v>1127</v>
      </c>
      <c r="H67" s="25">
        <f t="shared" si="44"/>
        <v>1505</v>
      </c>
      <c r="I67" s="25">
        <f t="shared" si="44"/>
        <v>998</v>
      </c>
      <c r="J67" s="25">
        <f t="shared" si="44"/>
        <v>766</v>
      </c>
      <c r="K67" s="25">
        <f t="shared" si="44"/>
        <v>1824</v>
      </c>
      <c r="L67" s="25">
        <f t="shared" si="44"/>
        <v>477</v>
      </c>
      <c r="M67" s="25">
        <f t="shared" si="44"/>
        <v>424</v>
      </c>
      <c r="N67" s="25">
        <f t="shared" si="44"/>
        <v>828</v>
      </c>
      <c r="O67" s="25">
        <f t="shared" si="44"/>
        <v>421</v>
      </c>
      <c r="P67" s="25">
        <f t="shared" si="44"/>
        <v>453</v>
      </c>
      <c r="Q67" s="25">
        <f t="shared" si="44"/>
        <v>474</v>
      </c>
      <c r="R67" s="25">
        <f t="shared" si="44"/>
        <v>229</v>
      </c>
      <c r="S67" s="25">
        <f t="shared" si="44"/>
        <v>127</v>
      </c>
      <c r="T67" s="25">
        <f t="shared" si="44"/>
        <v>0</v>
      </c>
      <c r="U67" s="25">
        <f t="shared" si="1"/>
        <v>12169</v>
      </c>
      <c r="V67" s="7"/>
    </row>
    <row r="68" spans="1:22" ht="12">
      <c r="A68" s="5" t="s">
        <v>139</v>
      </c>
      <c r="B68" s="20" t="s">
        <v>130</v>
      </c>
      <c r="C68" s="20"/>
      <c r="D68" s="7"/>
      <c r="E68" s="24">
        <v>637</v>
      </c>
      <c r="F68" s="24">
        <v>1080</v>
      </c>
      <c r="G68" s="24">
        <v>1127</v>
      </c>
      <c r="H68" s="24">
        <v>1505</v>
      </c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5">
        <f t="shared" ref="U68:U74" si="45">SUM(E68:T68)</f>
        <v>4349</v>
      </c>
      <c r="V68" s="7"/>
    </row>
    <row r="69" spans="1:22" ht="12">
      <c r="A69" s="5" t="s">
        <v>140</v>
      </c>
      <c r="B69" s="20" t="s">
        <v>132</v>
      </c>
      <c r="C69" s="20"/>
      <c r="D69" s="7"/>
      <c r="E69" s="24">
        <v>799</v>
      </c>
      <c r="F69" s="24"/>
      <c r="G69" s="24"/>
      <c r="H69" s="24"/>
      <c r="I69" s="24">
        <v>998</v>
      </c>
      <c r="J69" s="24">
        <v>766</v>
      </c>
      <c r="K69" s="24">
        <v>1824</v>
      </c>
      <c r="L69" s="24"/>
      <c r="M69" s="24"/>
      <c r="N69" s="24"/>
      <c r="O69" s="24"/>
      <c r="P69" s="24"/>
      <c r="Q69" s="24"/>
      <c r="R69" s="24"/>
      <c r="S69" s="24"/>
      <c r="T69" s="24"/>
      <c r="U69" s="25">
        <f t="shared" si="45"/>
        <v>4387</v>
      </c>
      <c r="V69" s="7"/>
    </row>
    <row r="70" spans="1:22" ht="12">
      <c r="A70" s="5" t="s">
        <v>141</v>
      </c>
      <c r="B70" s="20" t="s">
        <v>134</v>
      </c>
      <c r="C70" s="20"/>
      <c r="D70" s="7"/>
      <c r="E70" s="24"/>
      <c r="F70" s="24"/>
      <c r="G70" s="24"/>
      <c r="H70" s="24"/>
      <c r="I70" s="24"/>
      <c r="J70" s="24"/>
      <c r="K70" s="24"/>
      <c r="L70" s="24">
        <v>477</v>
      </c>
      <c r="M70" s="24">
        <v>424</v>
      </c>
      <c r="N70" s="24">
        <v>828</v>
      </c>
      <c r="O70" s="24">
        <v>421</v>
      </c>
      <c r="P70" s="24">
        <v>453</v>
      </c>
      <c r="Q70" s="24">
        <v>474</v>
      </c>
      <c r="R70" s="24">
        <v>229</v>
      </c>
      <c r="S70" s="24">
        <v>127</v>
      </c>
      <c r="T70" s="24"/>
      <c r="U70" s="25">
        <f t="shared" si="45"/>
        <v>3433</v>
      </c>
      <c r="V70" s="7"/>
    </row>
    <row r="71" spans="1:22" ht="12">
      <c r="A71" s="5" t="s">
        <v>142</v>
      </c>
      <c r="B71" s="20" t="s">
        <v>136</v>
      </c>
      <c r="C71" s="20"/>
      <c r="D71" s="7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5">
        <f t="shared" si="45"/>
        <v>0</v>
      </c>
      <c r="V71" s="7"/>
    </row>
    <row r="72" spans="1:22" ht="12">
      <c r="A72" s="5" t="s">
        <v>143</v>
      </c>
      <c r="B72" s="6" t="s">
        <v>303</v>
      </c>
      <c r="C72" s="6"/>
      <c r="D72" s="7"/>
      <c r="E72" s="24">
        <v>163</v>
      </c>
      <c r="F72" s="24">
        <v>42</v>
      </c>
      <c r="G72" s="24">
        <v>42</v>
      </c>
      <c r="H72" s="24">
        <v>1</v>
      </c>
      <c r="I72" s="24">
        <v>62</v>
      </c>
      <c r="J72" s="24">
        <v>34</v>
      </c>
      <c r="K72" s="24">
        <v>26</v>
      </c>
      <c r="L72" s="24">
        <v>26</v>
      </c>
      <c r="M72" s="24">
        <v>13</v>
      </c>
      <c r="N72" s="24">
        <v>9</v>
      </c>
      <c r="O72" s="24">
        <v>6</v>
      </c>
      <c r="P72" s="24"/>
      <c r="Q72" s="24"/>
      <c r="R72" s="24"/>
      <c r="S72" s="24"/>
      <c r="T72" s="24">
        <v>4</v>
      </c>
      <c r="U72" s="25">
        <f t="shared" si="45"/>
        <v>428</v>
      </c>
      <c r="V72" s="7"/>
    </row>
    <row r="73" spans="1:22" ht="12">
      <c r="A73" s="5" t="s">
        <v>144</v>
      </c>
      <c r="B73" s="20" t="s">
        <v>304</v>
      </c>
      <c r="C73" s="20"/>
      <c r="D73" s="11"/>
      <c r="E73" s="24">
        <v>24607.37</v>
      </c>
      <c r="F73" s="24">
        <v>12319.48</v>
      </c>
      <c r="G73" s="24">
        <v>22977.97</v>
      </c>
      <c r="H73" s="24">
        <v>17286.64</v>
      </c>
      <c r="I73" s="24">
        <v>10982.08</v>
      </c>
      <c r="J73" s="24">
        <v>6545.95</v>
      </c>
      <c r="K73" s="24">
        <v>20689.72</v>
      </c>
      <c r="L73" s="24">
        <v>9404.5</v>
      </c>
      <c r="M73" s="24">
        <v>4648.8900000000003</v>
      </c>
      <c r="N73" s="24">
        <v>15187.41</v>
      </c>
      <c r="O73" s="24">
        <v>8599.06</v>
      </c>
      <c r="P73" s="24">
        <v>11829.41</v>
      </c>
      <c r="Q73" s="24">
        <v>7947.39</v>
      </c>
      <c r="R73" s="24">
        <v>5724.12</v>
      </c>
      <c r="S73" s="24">
        <v>7630</v>
      </c>
      <c r="T73" s="24"/>
      <c r="U73" s="25">
        <f t="shared" si="45"/>
        <v>186379.99</v>
      </c>
      <c r="V73" s="7"/>
    </row>
    <row r="74" spans="1:22" ht="12">
      <c r="A74" s="5" t="s">
        <v>145</v>
      </c>
      <c r="B74" s="20" t="s">
        <v>305</v>
      </c>
      <c r="C74" s="20"/>
      <c r="D74" s="11"/>
      <c r="E74" s="24">
        <v>13238</v>
      </c>
      <c r="F74" s="24">
        <v>3530</v>
      </c>
      <c r="G74" s="24">
        <v>9560.9500000000007</v>
      </c>
      <c r="H74" s="24">
        <v>8804.2000000000007</v>
      </c>
      <c r="I74" s="24">
        <v>9586</v>
      </c>
      <c r="J74" s="24">
        <v>3899</v>
      </c>
      <c r="K74" s="24">
        <v>12205</v>
      </c>
      <c r="L74" s="24">
        <v>4143</v>
      </c>
      <c r="M74" s="24">
        <v>2486</v>
      </c>
      <c r="N74" s="24">
        <v>5315.35</v>
      </c>
      <c r="O74" s="24">
        <v>3543</v>
      </c>
      <c r="P74" s="24">
        <v>4348.7</v>
      </c>
      <c r="Q74" s="24">
        <v>5677.6</v>
      </c>
      <c r="R74" s="24">
        <v>1964.4</v>
      </c>
      <c r="S74" s="24">
        <v>2679.5</v>
      </c>
      <c r="T74" s="24"/>
      <c r="U74" s="25">
        <f t="shared" si="45"/>
        <v>90980.7</v>
      </c>
      <c r="V74" s="7"/>
    </row>
  </sheetData>
  <protectedRanges>
    <protectedRange password="E9C1" sqref="D30 C31 A5:D6 B7:D29 B32:D74 U5:V74 A7:A74 A2:V4" name="区域1_1"/>
    <protectedRange password="E9C1" sqref="B30:C30 B31" name="区域1_1_1"/>
    <protectedRange password="E9C1" sqref="D31" name="区域1_2"/>
  </protectedRanges>
  <mergeCells count="7">
    <mergeCell ref="A1:V1"/>
    <mergeCell ref="A2:A3"/>
    <mergeCell ref="B2:B3"/>
    <mergeCell ref="C2:C3"/>
    <mergeCell ref="D2:D3"/>
    <mergeCell ref="U2:U3"/>
    <mergeCell ref="V2:V3"/>
  </mergeCells>
  <phoneticPr fontId="2" type="noConversion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R74"/>
  <sheetViews>
    <sheetView workbookViewId="0">
      <selection activeCell="A75" sqref="A75:XFD75"/>
    </sheetView>
  </sheetViews>
  <sheetFormatPr defaultRowHeight="11.25"/>
  <cols>
    <col min="1" max="1" width="9" style="21"/>
    <col min="2" max="2" width="22" style="3" customWidth="1"/>
    <col min="3" max="3" width="9" style="3"/>
    <col min="4" max="4" width="9" style="22"/>
    <col min="5" max="5" width="11.875" style="3" customWidth="1"/>
    <col min="6" max="6" width="11.375" style="3" customWidth="1"/>
    <col min="7" max="7" width="11.5" style="3" customWidth="1"/>
    <col min="8" max="8" width="12.375" style="3" customWidth="1"/>
    <col min="9" max="10" width="9" style="3"/>
    <col min="11" max="11" width="9.75" style="3" bestFit="1" customWidth="1"/>
    <col min="12" max="16" width="9" style="3"/>
    <col min="17" max="17" width="11" style="3" customWidth="1"/>
    <col min="18" max="16384" width="9" style="3"/>
  </cols>
  <sheetData>
    <row r="1" spans="1:18" ht="25.5">
      <c r="A1" s="92" t="s">
        <v>0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</row>
    <row r="2" spans="1:18" ht="33.75">
      <c r="A2" s="93" t="s">
        <v>1</v>
      </c>
      <c r="B2" s="93" t="s">
        <v>2</v>
      </c>
      <c r="C2" s="93" t="s">
        <v>3</v>
      </c>
      <c r="D2" s="93" t="s">
        <v>4</v>
      </c>
      <c r="E2" s="4" t="s">
        <v>221</v>
      </c>
      <c r="F2" s="4" t="s">
        <v>222</v>
      </c>
      <c r="G2" s="4" t="s">
        <v>223</v>
      </c>
      <c r="H2" s="4" t="s">
        <v>224</v>
      </c>
      <c r="I2" s="4" t="s">
        <v>225</v>
      </c>
      <c r="J2" s="4" t="s">
        <v>226</v>
      </c>
      <c r="K2" s="4" t="s">
        <v>227</v>
      </c>
      <c r="L2" s="4" t="s">
        <v>228</v>
      </c>
      <c r="M2" s="4" t="s">
        <v>229</v>
      </c>
      <c r="N2" s="4" t="s">
        <v>230</v>
      </c>
      <c r="O2" s="4" t="s">
        <v>231</v>
      </c>
      <c r="P2" s="4" t="s">
        <v>232</v>
      </c>
      <c r="Q2" s="93" t="s">
        <v>16</v>
      </c>
      <c r="R2" s="93" t="s">
        <v>17</v>
      </c>
    </row>
    <row r="3" spans="1:18">
      <c r="A3" s="94"/>
      <c r="B3" s="94"/>
      <c r="C3" s="94"/>
      <c r="D3" s="94"/>
      <c r="E3" s="4" t="s">
        <v>162</v>
      </c>
      <c r="F3" s="4" t="s">
        <v>162</v>
      </c>
      <c r="G3" s="4" t="s">
        <v>163</v>
      </c>
      <c r="H3" s="4" t="s">
        <v>164</v>
      </c>
      <c r="I3" s="4" t="s">
        <v>165</v>
      </c>
      <c r="J3" s="4" t="s">
        <v>165</v>
      </c>
      <c r="K3" s="4" t="s">
        <v>165</v>
      </c>
      <c r="L3" s="4" t="s">
        <v>165</v>
      </c>
      <c r="M3" s="4" t="s">
        <v>165</v>
      </c>
      <c r="N3" s="4" t="s">
        <v>165</v>
      </c>
      <c r="O3" s="4" t="s">
        <v>165</v>
      </c>
      <c r="P3" s="4" t="s">
        <v>166</v>
      </c>
      <c r="Q3" s="94"/>
      <c r="R3" s="94"/>
    </row>
    <row r="4" spans="1:18">
      <c r="A4" s="5" t="s">
        <v>18</v>
      </c>
      <c r="B4" s="6" t="s">
        <v>19</v>
      </c>
      <c r="C4" s="6"/>
      <c r="D4" s="7" t="s">
        <v>20</v>
      </c>
      <c r="E4" s="8">
        <f>E5+E32+E39</f>
        <v>66920074.629999995</v>
      </c>
      <c r="F4" s="8">
        <f t="shared" ref="F4:P4" si="0">F5+F32+F39</f>
        <v>52009748.07</v>
      </c>
      <c r="G4" s="8">
        <f t="shared" si="0"/>
        <v>39395027.75</v>
      </c>
      <c r="H4" s="8">
        <f t="shared" si="0"/>
        <v>71065512.270000011</v>
      </c>
      <c r="I4" s="8">
        <f t="shared" si="0"/>
        <v>9264209.8499999996</v>
      </c>
      <c r="J4" s="8">
        <f t="shared" si="0"/>
        <v>10019811.73</v>
      </c>
      <c r="K4" s="8">
        <f t="shared" si="0"/>
        <v>8620635.120000001</v>
      </c>
      <c r="L4" s="8">
        <f t="shared" si="0"/>
        <v>9527366.4499999993</v>
      </c>
      <c r="M4" s="8">
        <f t="shared" si="0"/>
        <v>10985213</v>
      </c>
      <c r="N4" s="8">
        <f t="shared" si="0"/>
        <v>8283906.7000000002</v>
      </c>
      <c r="O4" s="8">
        <f t="shared" si="0"/>
        <v>17133187</v>
      </c>
      <c r="P4" s="8">
        <f t="shared" si="0"/>
        <v>4474482.1500000004</v>
      </c>
      <c r="Q4" s="8">
        <f t="shared" ref="Q4:Q67" si="1">SUM(E4:P4)</f>
        <v>307699174.71999997</v>
      </c>
      <c r="R4" s="7"/>
    </row>
    <row r="5" spans="1:18">
      <c r="A5" s="5" t="s">
        <v>21</v>
      </c>
      <c r="B5" s="6" t="s">
        <v>22</v>
      </c>
      <c r="C5" s="6"/>
      <c r="D5" s="7" t="s">
        <v>20</v>
      </c>
      <c r="E5" s="8">
        <f>E6+E9+E13+E16+E21+E26+E28+E30+E31</f>
        <v>54717571.439999998</v>
      </c>
      <c r="F5" s="8">
        <f t="shared" ref="F5:P5" si="2">F6+F9+F13+F16+F21+F26+F28+F30+F31</f>
        <v>43374788.560000002</v>
      </c>
      <c r="G5" s="8">
        <f t="shared" si="2"/>
        <v>32315052</v>
      </c>
      <c r="H5" s="8">
        <f t="shared" si="2"/>
        <v>59559628.560000002</v>
      </c>
      <c r="I5" s="8">
        <f t="shared" si="2"/>
        <v>8038407.71</v>
      </c>
      <c r="J5" s="8">
        <f t="shared" si="2"/>
        <v>8571755.4399999995</v>
      </c>
      <c r="K5" s="8">
        <f t="shared" si="2"/>
        <v>7379286.8500000006</v>
      </c>
      <c r="L5" s="8">
        <f t="shared" si="2"/>
        <v>8012984</v>
      </c>
      <c r="M5" s="8">
        <f t="shared" si="2"/>
        <v>9425260</v>
      </c>
      <c r="N5" s="8">
        <f t="shared" si="2"/>
        <v>7055900</v>
      </c>
      <c r="O5" s="8">
        <f t="shared" si="2"/>
        <v>14606708</v>
      </c>
      <c r="P5" s="8">
        <f t="shared" si="2"/>
        <v>3812566.29</v>
      </c>
      <c r="Q5" s="8">
        <f t="shared" si="1"/>
        <v>256869908.84999999</v>
      </c>
      <c r="R5" s="7"/>
    </row>
    <row r="6" spans="1:18">
      <c r="A6" s="5" t="s">
        <v>23</v>
      </c>
      <c r="B6" s="6" t="s">
        <v>24</v>
      </c>
      <c r="C6" s="6"/>
      <c r="D6" s="7" t="s">
        <v>20</v>
      </c>
      <c r="E6" s="8">
        <f>E7+E8</f>
        <v>9366432</v>
      </c>
      <c r="F6" s="8">
        <f t="shared" ref="F6:P6" si="3">F7+F8</f>
        <v>5520012</v>
      </c>
      <c r="G6" s="8">
        <f t="shared" si="3"/>
        <v>4029072</v>
      </c>
      <c r="H6" s="8">
        <f t="shared" si="3"/>
        <v>8316612</v>
      </c>
      <c r="I6" s="8">
        <f t="shared" si="3"/>
        <v>1183296</v>
      </c>
      <c r="J6" s="8">
        <f t="shared" si="3"/>
        <v>1135428</v>
      </c>
      <c r="K6" s="8">
        <f t="shared" si="3"/>
        <v>1060992</v>
      </c>
      <c r="L6" s="8">
        <f t="shared" si="3"/>
        <v>1179120</v>
      </c>
      <c r="M6" s="8">
        <f t="shared" si="3"/>
        <v>1704696</v>
      </c>
      <c r="N6" s="8">
        <f t="shared" si="3"/>
        <v>1151076</v>
      </c>
      <c r="O6" s="8">
        <f t="shared" si="3"/>
        <v>2264640</v>
      </c>
      <c r="P6" s="8">
        <f t="shared" si="3"/>
        <v>606216</v>
      </c>
      <c r="Q6" s="8">
        <f t="shared" si="1"/>
        <v>37517592</v>
      </c>
      <c r="R6" s="7"/>
    </row>
    <row r="7" spans="1:18" ht="22.5">
      <c r="A7" s="5" t="s">
        <v>25</v>
      </c>
      <c r="B7" s="6" t="s">
        <v>26</v>
      </c>
      <c r="C7" s="6" t="s">
        <v>27</v>
      </c>
      <c r="D7" s="7" t="s">
        <v>28</v>
      </c>
      <c r="E7" s="9">
        <f>364572*12</f>
        <v>4374864</v>
      </c>
      <c r="F7" s="9">
        <f>291028*12</f>
        <v>3492336</v>
      </c>
      <c r="G7" s="9">
        <v>2642424</v>
      </c>
      <c r="H7" s="9">
        <v>4797960</v>
      </c>
      <c r="I7" s="9">
        <v>715836</v>
      </c>
      <c r="J7" s="9">
        <v>752712</v>
      </c>
      <c r="K7" s="9">
        <v>646356</v>
      </c>
      <c r="L7" s="9">
        <f>59676*12</f>
        <v>716112</v>
      </c>
      <c r="M7" s="9">
        <f>69289*12</f>
        <v>831468</v>
      </c>
      <c r="N7" s="9">
        <f>55626*12</f>
        <v>667512</v>
      </c>
      <c r="O7" s="9">
        <v>1382844</v>
      </c>
      <c r="P7" s="9">
        <f>24696*12</f>
        <v>296352</v>
      </c>
      <c r="Q7" s="8">
        <f t="shared" si="1"/>
        <v>21316776</v>
      </c>
      <c r="R7" s="10"/>
    </row>
    <row r="8" spans="1:18" ht="22.5">
      <c r="A8" s="5" t="s">
        <v>29</v>
      </c>
      <c r="B8" s="6" t="s">
        <v>30</v>
      </c>
      <c r="C8" s="6" t="s">
        <v>27</v>
      </c>
      <c r="D8" s="7" t="s">
        <v>28</v>
      </c>
      <c r="E8" s="9">
        <f>415964*12</f>
        <v>4991568</v>
      </c>
      <c r="F8" s="9">
        <f>168973*12</f>
        <v>2027676</v>
      </c>
      <c r="G8" s="9">
        <v>1386648</v>
      </c>
      <c r="H8" s="9">
        <v>3518652</v>
      </c>
      <c r="I8" s="9">
        <v>467460</v>
      </c>
      <c r="J8" s="9">
        <v>382716</v>
      </c>
      <c r="K8" s="9">
        <v>414636</v>
      </c>
      <c r="L8" s="9">
        <f>38584*12</f>
        <v>463008</v>
      </c>
      <c r="M8" s="9">
        <f>72769*12</f>
        <v>873228</v>
      </c>
      <c r="N8" s="9">
        <f>40297*12</f>
        <v>483564</v>
      </c>
      <c r="O8" s="9">
        <v>881796</v>
      </c>
      <c r="P8" s="9">
        <f>25822*12</f>
        <v>309864</v>
      </c>
      <c r="Q8" s="8">
        <f t="shared" si="1"/>
        <v>16200816</v>
      </c>
      <c r="R8" s="7"/>
    </row>
    <row r="9" spans="1:18">
      <c r="A9" s="5" t="s">
        <v>31</v>
      </c>
      <c r="B9" s="6" t="s">
        <v>32</v>
      </c>
      <c r="C9" s="6"/>
      <c r="D9" s="7" t="s">
        <v>20</v>
      </c>
      <c r="E9" s="8">
        <f>E10+E11</f>
        <v>753468</v>
      </c>
      <c r="F9" s="8">
        <f t="shared" ref="F9:P9" si="4">F10+F11</f>
        <v>632628</v>
      </c>
      <c r="G9" s="8">
        <f t="shared" si="4"/>
        <v>467988</v>
      </c>
      <c r="H9" s="8">
        <f t="shared" si="4"/>
        <v>886284</v>
      </c>
      <c r="I9" s="8">
        <f t="shared" si="4"/>
        <v>133500</v>
      </c>
      <c r="J9" s="8">
        <f t="shared" si="4"/>
        <v>143412</v>
      </c>
      <c r="K9" s="8">
        <f t="shared" si="4"/>
        <v>127896</v>
      </c>
      <c r="L9" s="8">
        <f t="shared" si="4"/>
        <v>133380</v>
      </c>
      <c r="M9" s="8">
        <f t="shared" si="4"/>
        <v>150768</v>
      </c>
      <c r="N9" s="8">
        <f t="shared" si="4"/>
        <v>117768</v>
      </c>
      <c r="O9" s="8">
        <f t="shared" si="4"/>
        <v>256356</v>
      </c>
      <c r="P9" s="8">
        <f t="shared" si="4"/>
        <v>53556</v>
      </c>
      <c r="Q9" s="8">
        <f t="shared" si="1"/>
        <v>3857004</v>
      </c>
      <c r="R9" s="7"/>
    </row>
    <row r="10" spans="1:18" ht="22.5">
      <c r="A10" s="5" t="s">
        <v>33</v>
      </c>
      <c r="B10" s="6" t="s">
        <v>34</v>
      </c>
      <c r="C10" s="6" t="s">
        <v>27</v>
      </c>
      <c r="D10" s="7" t="s">
        <v>28</v>
      </c>
      <c r="E10" s="9">
        <v>14268</v>
      </c>
      <c r="F10" s="9">
        <f>359*12</f>
        <v>4308</v>
      </c>
      <c r="G10" s="9">
        <v>3348</v>
      </c>
      <c r="H10" s="9">
        <v>9804</v>
      </c>
      <c r="I10" s="9">
        <v>1500</v>
      </c>
      <c r="J10" s="9">
        <v>852</v>
      </c>
      <c r="K10" s="9">
        <v>6456</v>
      </c>
      <c r="L10" s="9">
        <v>1380</v>
      </c>
      <c r="M10" s="9">
        <v>2928</v>
      </c>
      <c r="N10" s="9">
        <v>1608</v>
      </c>
      <c r="O10" s="9">
        <v>2916</v>
      </c>
      <c r="P10" s="9">
        <v>756</v>
      </c>
      <c r="Q10" s="8">
        <f t="shared" si="1"/>
        <v>50124</v>
      </c>
      <c r="R10" s="7"/>
    </row>
    <row r="11" spans="1:18">
      <c r="A11" s="5" t="s">
        <v>35</v>
      </c>
      <c r="B11" s="6" t="s">
        <v>36</v>
      </c>
      <c r="C11" s="6"/>
      <c r="D11" s="7" t="s">
        <v>20</v>
      </c>
      <c r="E11" s="8">
        <f>E12</f>
        <v>739200</v>
      </c>
      <c r="F11" s="8">
        <f t="shared" ref="F11:P11" si="5">F12</f>
        <v>628320</v>
      </c>
      <c r="G11" s="8">
        <f t="shared" si="5"/>
        <v>464640</v>
      </c>
      <c r="H11" s="8">
        <f t="shared" si="5"/>
        <v>876480</v>
      </c>
      <c r="I11" s="8">
        <f t="shared" si="5"/>
        <v>132000</v>
      </c>
      <c r="J11" s="8">
        <f t="shared" si="5"/>
        <v>142560</v>
      </c>
      <c r="K11" s="8">
        <f t="shared" si="5"/>
        <v>121440</v>
      </c>
      <c r="L11" s="8">
        <f t="shared" si="5"/>
        <v>132000</v>
      </c>
      <c r="M11" s="8">
        <f t="shared" si="5"/>
        <v>147840</v>
      </c>
      <c r="N11" s="8">
        <f t="shared" si="5"/>
        <v>116160</v>
      </c>
      <c r="O11" s="8">
        <f t="shared" si="5"/>
        <v>253440</v>
      </c>
      <c r="P11" s="8">
        <f t="shared" si="5"/>
        <v>52800</v>
      </c>
      <c r="Q11" s="8">
        <f t="shared" si="1"/>
        <v>3806880</v>
      </c>
      <c r="R11" s="7"/>
    </row>
    <row r="12" spans="1:18">
      <c r="A12" s="5" t="s">
        <v>37</v>
      </c>
      <c r="B12" s="6" t="s">
        <v>266</v>
      </c>
      <c r="C12" s="6" t="s">
        <v>27</v>
      </c>
      <c r="D12" s="7" t="s">
        <v>20</v>
      </c>
      <c r="E12" s="8">
        <f>440*12*E62</f>
        <v>739200</v>
      </c>
      <c r="F12" s="8">
        <f t="shared" ref="F12:P12" si="6">440*12*F62</f>
        <v>628320</v>
      </c>
      <c r="G12" s="8">
        <f t="shared" si="6"/>
        <v>464640</v>
      </c>
      <c r="H12" s="8">
        <f t="shared" si="6"/>
        <v>876480</v>
      </c>
      <c r="I12" s="8">
        <f t="shared" si="6"/>
        <v>132000</v>
      </c>
      <c r="J12" s="8">
        <f t="shared" si="6"/>
        <v>142560</v>
      </c>
      <c r="K12" s="8">
        <f t="shared" si="6"/>
        <v>121440</v>
      </c>
      <c r="L12" s="8">
        <f t="shared" si="6"/>
        <v>132000</v>
      </c>
      <c r="M12" s="8">
        <f t="shared" si="6"/>
        <v>147840</v>
      </c>
      <c r="N12" s="8">
        <f t="shared" si="6"/>
        <v>116160</v>
      </c>
      <c r="O12" s="8">
        <f t="shared" si="6"/>
        <v>253440</v>
      </c>
      <c r="P12" s="8">
        <f t="shared" si="6"/>
        <v>52800</v>
      </c>
      <c r="Q12" s="8">
        <f t="shared" si="1"/>
        <v>3806880</v>
      </c>
      <c r="R12" s="7"/>
    </row>
    <row r="13" spans="1:18" ht="33.75">
      <c r="A13" s="5" t="s">
        <v>38</v>
      </c>
      <c r="B13" s="6" t="s">
        <v>39</v>
      </c>
      <c r="C13" s="6"/>
      <c r="D13" s="7" t="s">
        <v>40</v>
      </c>
      <c r="E13" s="8">
        <f>E14+E15</f>
        <v>373997.14</v>
      </c>
      <c r="F13" s="8">
        <f t="shared" ref="F13:P13" si="7">F14+F15</f>
        <v>303558.86</v>
      </c>
      <c r="G13" s="8">
        <f t="shared" si="7"/>
        <v>223440</v>
      </c>
      <c r="H13" s="8">
        <f t="shared" si="7"/>
        <v>404910.86</v>
      </c>
      <c r="I13" s="8">
        <f t="shared" si="7"/>
        <v>55256.58</v>
      </c>
      <c r="J13" s="8">
        <f t="shared" si="7"/>
        <v>59957.14</v>
      </c>
      <c r="K13" s="8">
        <f t="shared" si="7"/>
        <v>50614.28</v>
      </c>
      <c r="L13" s="8">
        <f t="shared" si="7"/>
        <v>54192</v>
      </c>
      <c r="M13" s="8">
        <f t="shared" si="7"/>
        <v>62424</v>
      </c>
      <c r="N13" s="8">
        <f t="shared" si="7"/>
        <v>48660</v>
      </c>
      <c r="O13" s="8">
        <f t="shared" si="7"/>
        <v>89352</v>
      </c>
      <c r="P13" s="8">
        <f t="shared" si="7"/>
        <v>25995.42</v>
      </c>
      <c r="Q13" s="8">
        <f t="shared" si="1"/>
        <v>1752358.2799999998</v>
      </c>
      <c r="R13" s="7"/>
    </row>
    <row r="14" spans="1:18" ht="22.5">
      <c r="A14" s="5" t="s">
        <v>41</v>
      </c>
      <c r="B14" s="6" t="s">
        <v>267</v>
      </c>
      <c r="C14" s="6" t="s">
        <v>27</v>
      </c>
      <c r="D14" s="7" t="s">
        <v>42</v>
      </c>
      <c r="E14" s="8">
        <f>ROUND(E30/0.07*0.005,2)</f>
        <v>186998.57</v>
      </c>
      <c r="F14" s="8">
        <f t="shared" ref="F14:P14" si="8">ROUND(F30/0.07*0.005,2)</f>
        <v>151779.43</v>
      </c>
      <c r="G14" s="8">
        <f t="shared" si="8"/>
        <v>111720</v>
      </c>
      <c r="H14" s="8">
        <f t="shared" si="8"/>
        <v>202455.43</v>
      </c>
      <c r="I14" s="8">
        <f t="shared" si="8"/>
        <v>27628.29</v>
      </c>
      <c r="J14" s="8">
        <f t="shared" si="8"/>
        <v>29978.57</v>
      </c>
      <c r="K14" s="8">
        <f t="shared" si="8"/>
        <v>25307.14</v>
      </c>
      <c r="L14" s="8">
        <f t="shared" si="8"/>
        <v>27096</v>
      </c>
      <c r="M14" s="8">
        <f t="shared" si="8"/>
        <v>31212</v>
      </c>
      <c r="N14" s="8">
        <f t="shared" si="8"/>
        <v>24330</v>
      </c>
      <c r="O14" s="8">
        <f t="shared" si="8"/>
        <v>44676</v>
      </c>
      <c r="P14" s="8">
        <f t="shared" si="8"/>
        <v>12997.71</v>
      </c>
      <c r="Q14" s="8">
        <f t="shared" si="1"/>
        <v>876179.1399999999</v>
      </c>
      <c r="R14" s="7"/>
    </row>
    <row r="15" spans="1:18" ht="22.5">
      <c r="A15" s="5" t="s">
        <v>43</v>
      </c>
      <c r="B15" s="6" t="s">
        <v>268</v>
      </c>
      <c r="C15" s="6" t="s">
        <v>27</v>
      </c>
      <c r="D15" s="7" t="s">
        <v>42</v>
      </c>
      <c r="E15" s="8">
        <f>ROUND(E30/0.07*0.005,2)</f>
        <v>186998.57</v>
      </c>
      <c r="F15" s="8">
        <f t="shared" ref="F15:P15" si="9">ROUND(F30/0.07*0.005,2)</f>
        <v>151779.43</v>
      </c>
      <c r="G15" s="8">
        <f t="shared" si="9"/>
        <v>111720</v>
      </c>
      <c r="H15" s="8">
        <f t="shared" si="9"/>
        <v>202455.43</v>
      </c>
      <c r="I15" s="8">
        <f t="shared" si="9"/>
        <v>27628.29</v>
      </c>
      <c r="J15" s="8">
        <f t="shared" si="9"/>
        <v>29978.57</v>
      </c>
      <c r="K15" s="8">
        <f t="shared" si="9"/>
        <v>25307.14</v>
      </c>
      <c r="L15" s="8">
        <f t="shared" si="9"/>
        <v>27096</v>
      </c>
      <c r="M15" s="8">
        <f t="shared" si="9"/>
        <v>31212</v>
      </c>
      <c r="N15" s="8">
        <f t="shared" si="9"/>
        <v>24330</v>
      </c>
      <c r="O15" s="8">
        <f>ROUND(O30/0.07*0.005,2)</f>
        <v>44676</v>
      </c>
      <c r="P15" s="8">
        <f t="shared" si="9"/>
        <v>12997.71</v>
      </c>
      <c r="Q15" s="8">
        <f t="shared" si="1"/>
        <v>876179.1399999999</v>
      </c>
      <c r="R15" s="7"/>
    </row>
    <row r="16" spans="1:18">
      <c r="A16" s="5" t="s">
        <v>44</v>
      </c>
      <c r="B16" s="6" t="s">
        <v>45</v>
      </c>
      <c r="C16" s="6"/>
      <c r="D16" s="7" t="s">
        <v>20</v>
      </c>
      <c r="E16" s="8">
        <f>E17+E18+E19+E20</f>
        <v>27767800</v>
      </c>
      <c r="F16" s="8">
        <f t="shared" ref="F16:L16" si="10">F17+F18+F19+F20</f>
        <v>23562000</v>
      </c>
      <c r="G16" s="8">
        <f t="shared" si="10"/>
        <v>17763192</v>
      </c>
      <c r="H16" s="8">
        <f t="shared" si="10"/>
        <v>32135744</v>
      </c>
      <c r="I16" s="8">
        <f t="shared" si="10"/>
        <v>4235066</v>
      </c>
      <c r="J16" s="8">
        <f t="shared" si="10"/>
        <v>4594844</v>
      </c>
      <c r="K16" s="8">
        <f t="shared" si="10"/>
        <v>3912756</v>
      </c>
      <c r="L16" s="8">
        <f t="shared" si="10"/>
        <v>4261844</v>
      </c>
      <c r="M16" s="8">
        <f>M17+M18+M19+M20</f>
        <v>4760716</v>
      </c>
      <c r="N16" s="8">
        <f>N17+N18+N19+N20</f>
        <v>3597356</v>
      </c>
      <c r="O16" s="8">
        <f>O17+O18+O19+O20</f>
        <v>8064872</v>
      </c>
      <c r="P16" s="8">
        <f>P17+P18+P19+P20</f>
        <v>1983000</v>
      </c>
      <c r="Q16" s="8">
        <f t="shared" si="1"/>
        <v>136639190</v>
      </c>
      <c r="R16" s="7"/>
    </row>
    <row r="17" spans="1:18" ht="22.5">
      <c r="A17" s="5" t="s">
        <v>46</v>
      </c>
      <c r="B17" s="6" t="s">
        <v>47</v>
      </c>
      <c r="C17" s="6" t="s">
        <v>27</v>
      </c>
      <c r="D17" s="7" t="s">
        <v>269</v>
      </c>
      <c r="E17" s="9">
        <v>24934000</v>
      </c>
      <c r="F17" s="9">
        <v>21658000</v>
      </c>
      <c r="G17" s="9">
        <v>16095000</v>
      </c>
      <c r="H17" s="9">
        <v>28811200</v>
      </c>
      <c r="I17" s="9">
        <v>3864000</v>
      </c>
      <c r="J17" s="9">
        <v>4186000</v>
      </c>
      <c r="K17" s="9">
        <v>3542000</v>
      </c>
      <c r="L17" s="9">
        <v>3864000</v>
      </c>
      <c r="M17" s="9">
        <v>4347000</v>
      </c>
      <c r="N17" s="9">
        <v>3220000</v>
      </c>
      <c r="O17" s="9">
        <v>7518700</v>
      </c>
      <c r="P17" s="9">
        <v>1923000</v>
      </c>
      <c r="Q17" s="8">
        <f t="shared" si="1"/>
        <v>123962900</v>
      </c>
      <c r="R17" s="7"/>
    </row>
    <row r="18" spans="1:18" ht="33.75">
      <c r="A18" s="5" t="s">
        <v>48</v>
      </c>
      <c r="B18" s="6" t="s">
        <v>49</v>
      </c>
      <c r="C18" s="6" t="s">
        <v>27</v>
      </c>
      <c r="D18" s="7" t="s">
        <v>50</v>
      </c>
      <c r="E18" s="9">
        <v>593800</v>
      </c>
      <c r="F18" s="9"/>
      <c r="G18" s="9">
        <v>260192</v>
      </c>
      <c r="H18" s="9">
        <v>668544</v>
      </c>
      <c r="I18" s="9">
        <v>221066</v>
      </c>
      <c r="J18" s="9">
        <v>246844</v>
      </c>
      <c r="K18" s="9">
        <v>232756</v>
      </c>
      <c r="L18" s="9">
        <v>247844</v>
      </c>
      <c r="M18" s="9">
        <v>245716</v>
      </c>
      <c r="N18" s="9">
        <v>245356</v>
      </c>
      <c r="O18" s="9">
        <v>258172</v>
      </c>
      <c r="P18" s="9"/>
      <c r="Q18" s="8">
        <f t="shared" si="1"/>
        <v>3220290</v>
      </c>
      <c r="R18" s="7"/>
    </row>
    <row r="19" spans="1:18">
      <c r="A19" s="5" t="s">
        <v>51</v>
      </c>
      <c r="B19" s="6" t="s">
        <v>270</v>
      </c>
      <c r="C19" s="6" t="s">
        <v>27</v>
      </c>
      <c r="D19" s="7" t="s">
        <v>20</v>
      </c>
      <c r="E19" s="8">
        <f>E62*500*12</f>
        <v>840000</v>
      </c>
      <c r="F19" s="8">
        <f t="shared" ref="F19:P19" si="11">F62*500*12</f>
        <v>714000</v>
      </c>
      <c r="G19" s="8">
        <f t="shared" si="11"/>
        <v>528000</v>
      </c>
      <c r="H19" s="8">
        <f t="shared" si="11"/>
        <v>996000</v>
      </c>
      <c r="I19" s="8">
        <f t="shared" si="11"/>
        <v>150000</v>
      </c>
      <c r="J19" s="8">
        <f t="shared" si="11"/>
        <v>162000</v>
      </c>
      <c r="K19" s="8">
        <f t="shared" si="11"/>
        <v>138000</v>
      </c>
      <c r="L19" s="8">
        <f t="shared" si="11"/>
        <v>150000</v>
      </c>
      <c r="M19" s="8">
        <f t="shared" si="11"/>
        <v>168000</v>
      </c>
      <c r="N19" s="8">
        <f t="shared" si="11"/>
        <v>132000</v>
      </c>
      <c r="O19" s="8">
        <f t="shared" si="11"/>
        <v>288000</v>
      </c>
      <c r="P19" s="8">
        <f t="shared" si="11"/>
        <v>60000</v>
      </c>
      <c r="Q19" s="8">
        <f t="shared" si="1"/>
        <v>4326000</v>
      </c>
      <c r="R19" s="7"/>
    </row>
    <row r="20" spans="1:18" ht="22.5">
      <c r="A20" s="5" t="s">
        <v>52</v>
      </c>
      <c r="B20" s="6" t="s">
        <v>271</v>
      </c>
      <c r="C20" s="6" t="s">
        <v>27</v>
      </c>
      <c r="D20" s="7" t="s">
        <v>28</v>
      </c>
      <c r="E20" s="9">
        <f>E62*10000</f>
        <v>1400000</v>
      </c>
      <c r="F20" s="9">
        <v>1190000</v>
      </c>
      <c r="G20" s="9">
        <f>G62*10000</f>
        <v>880000</v>
      </c>
      <c r="H20" s="9">
        <f>H62*10000</f>
        <v>1660000</v>
      </c>
      <c r="I20" s="9"/>
      <c r="J20" s="9"/>
      <c r="K20" s="9"/>
      <c r="L20" s="9"/>
      <c r="M20" s="9"/>
      <c r="N20" s="9"/>
      <c r="O20" s="9"/>
      <c r="P20" s="9"/>
      <c r="Q20" s="8">
        <f t="shared" si="1"/>
        <v>5130000</v>
      </c>
      <c r="R20" s="7"/>
    </row>
    <row r="21" spans="1:18">
      <c r="A21" s="5" t="s">
        <v>53</v>
      </c>
      <c r="B21" s="6" t="s">
        <v>54</v>
      </c>
      <c r="C21" s="6"/>
      <c r="D21" s="7" t="s">
        <v>20</v>
      </c>
      <c r="E21" s="8">
        <f>E22+E23</f>
        <v>4861962.87</v>
      </c>
      <c r="F21" s="8">
        <f t="shared" ref="F21:P21" si="12">F22+F23</f>
        <v>3946265.13</v>
      </c>
      <c r="G21" s="8">
        <f t="shared" si="12"/>
        <v>2904720</v>
      </c>
      <c r="H21" s="8">
        <f t="shared" si="12"/>
        <v>5263841.13</v>
      </c>
      <c r="I21" s="8">
        <f t="shared" si="12"/>
        <v>718335.42</v>
      </c>
      <c r="J21" s="8">
        <f t="shared" si="12"/>
        <v>779442.87</v>
      </c>
      <c r="K21" s="8">
        <f t="shared" si="12"/>
        <v>657985.71</v>
      </c>
      <c r="L21" s="8">
        <f t="shared" si="12"/>
        <v>704496</v>
      </c>
      <c r="M21" s="8">
        <f t="shared" si="12"/>
        <v>811512</v>
      </c>
      <c r="N21" s="8">
        <f t="shared" si="12"/>
        <v>632580</v>
      </c>
      <c r="O21" s="8">
        <f t="shared" si="12"/>
        <v>1161576</v>
      </c>
      <c r="P21" s="8">
        <f t="shared" si="12"/>
        <v>337940.57999999996</v>
      </c>
      <c r="Q21" s="8">
        <f t="shared" si="1"/>
        <v>22780657.710000001</v>
      </c>
      <c r="R21" s="7"/>
    </row>
    <row r="22" spans="1:18">
      <c r="A22" s="5" t="s">
        <v>55</v>
      </c>
      <c r="B22" s="6" t="s">
        <v>272</v>
      </c>
      <c r="C22" s="6" t="s">
        <v>56</v>
      </c>
      <c r="D22" s="7" t="s">
        <v>20</v>
      </c>
      <c r="E22" s="8">
        <f>ROUND(E30/0.07*0.09,2)</f>
        <v>3365974.29</v>
      </c>
      <c r="F22" s="8">
        <f t="shared" ref="F22:P22" si="13">ROUND(F30/0.07*0.09,2)</f>
        <v>2732029.71</v>
      </c>
      <c r="G22" s="8">
        <f t="shared" si="13"/>
        <v>2010960</v>
      </c>
      <c r="H22" s="8">
        <f t="shared" si="13"/>
        <v>3644197.71</v>
      </c>
      <c r="I22" s="8">
        <f t="shared" si="13"/>
        <v>497309.14</v>
      </c>
      <c r="J22" s="8">
        <f t="shared" si="13"/>
        <v>539614.29</v>
      </c>
      <c r="K22" s="8">
        <f t="shared" si="13"/>
        <v>455528.57</v>
      </c>
      <c r="L22" s="8">
        <f t="shared" si="13"/>
        <v>487728</v>
      </c>
      <c r="M22" s="8">
        <f t="shared" si="13"/>
        <v>561816</v>
      </c>
      <c r="N22" s="8">
        <f t="shared" si="13"/>
        <v>437940</v>
      </c>
      <c r="O22" s="8">
        <f t="shared" si="13"/>
        <v>804168</v>
      </c>
      <c r="P22" s="8">
        <f t="shared" si="13"/>
        <v>233958.86</v>
      </c>
      <c r="Q22" s="8">
        <f t="shared" si="1"/>
        <v>15771224.57</v>
      </c>
      <c r="R22" s="7"/>
    </row>
    <row r="23" spans="1:18" ht="22.5">
      <c r="A23" s="5" t="s">
        <v>57</v>
      </c>
      <c r="B23" s="6" t="s">
        <v>306</v>
      </c>
      <c r="C23" s="6" t="s">
        <v>56</v>
      </c>
      <c r="D23" s="7" t="s">
        <v>42</v>
      </c>
      <c r="E23" s="8">
        <f>E24+E25</f>
        <v>1495988.58</v>
      </c>
      <c r="F23" s="8">
        <f t="shared" ref="F23:P23" si="14">F24+F25</f>
        <v>1214235.42</v>
      </c>
      <c r="G23" s="8">
        <f t="shared" si="14"/>
        <v>893760</v>
      </c>
      <c r="H23" s="8">
        <f t="shared" si="14"/>
        <v>1619643.42</v>
      </c>
      <c r="I23" s="8">
        <f t="shared" si="14"/>
        <v>221026.28</v>
      </c>
      <c r="J23" s="8">
        <f t="shared" si="14"/>
        <v>239828.58</v>
      </c>
      <c r="K23" s="8">
        <f t="shared" si="14"/>
        <v>202457.14</v>
      </c>
      <c r="L23" s="8">
        <f t="shared" si="14"/>
        <v>216768</v>
      </c>
      <c r="M23" s="8">
        <f t="shared" si="14"/>
        <v>249696</v>
      </c>
      <c r="N23" s="8">
        <f t="shared" si="14"/>
        <v>194640</v>
      </c>
      <c r="O23" s="8">
        <f t="shared" si="14"/>
        <v>357408</v>
      </c>
      <c r="P23" s="8">
        <f t="shared" si="14"/>
        <v>103981.72</v>
      </c>
      <c r="Q23" s="8">
        <f t="shared" si="1"/>
        <v>7009433.1399999997</v>
      </c>
      <c r="R23" s="7"/>
    </row>
    <row r="24" spans="1:18" ht="22.5">
      <c r="A24" s="5" t="s">
        <v>58</v>
      </c>
      <c r="B24" s="6" t="s">
        <v>307</v>
      </c>
      <c r="C24" s="6" t="s">
        <v>56</v>
      </c>
      <c r="D24" s="7" t="s">
        <v>42</v>
      </c>
      <c r="E24" s="8">
        <f>ROUND(E30/0.07*0.02,2)</f>
        <v>747994.29</v>
      </c>
      <c r="F24" s="8">
        <f t="shared" ref="F24:P24" si="15">ROUND(F30/0.07*0.02,2)</f>
        <v>607117.71</v>
      </c>
      <c r="G24" s="8">
        <f t="shared" si="15"/>
        <v>446880</v>
      </c>
      <c r="H24" s="8">
        <f t="shared" si="15"/>
        <v>809821.71</v>
      </c>
      <c r="I24" s="8">
        <f t="shared" si="15"/>
        <v>110513.14</v>
      </c>
      <c r="J24" s="8">
        <f t="shared" si="15"/>
        <v>119914.29</v>
      </c>
      <c r="K24" s="8">
        <f t="shared" si="15"/>
        <v>101228.57</v>
      </c>
      <c r="L24" s="8">
        <f t="shared" si="15"/>
        <v>108384</v>
      </c>
      <c r="M24" s="8">
        <f t="shared" si="15"/>
        <v>124848</v>
      </c>
      <c r="N24" s="8">
        <f t="shared" si="15"/>
        <v>97320</v>
      </c>
      <c r="O24" s="8">
        <f t="shared" si="15"/>
        <v>178704</v>
      </c>
      <c r="P24" s="8">
        <f t="shared" si="15"/>
        <v>51990.86</v>
      </c>
      <c r="Q24" s="8">
        <f t="shared" si="1"/>
        <v>3504716.57</v>
      </c>
      <c r="R24" s="7"/>
    </row>
    <row r="25" spans="1:18" ht="22.5">
      <c r="A25" s="5" t="s">
        <v>59</v>
      </c>
      <c r="B25" s="6" t="s">
        <v>308</v>
      </c>
      <c r="C25" s="6" t="s">
        <v>56</v>
      </c>
      <c r="D25" s="7" t="s">
        <v>42</v>
      </c>
      <c r="E25" s="8">
        <f>ROUND(E30/0.07*0.02,2)</f>
        <v>747994.29</v>
      </c>
      <c r="F25" s="8">
        <f t="shared" ref="F25:P25" si="16">ROUND(F30/0.07*0.02,2)</f>
        <v>607117.71</v>
      </c>
      <c r="G25" s="8">
        <f t="shared" si="16"/>
        <v>446880</v>
      </c>
      <c r="H25" s="8">
        <f t="shared" si="16"/>
        <v>809821.71</v>
      </c>
      <c r="I25" s="8">
        <f t="shared" si="16"/>
        <v>110513.14</v>
      </c>
      <c r="J25" s="8">
        <f t="shared" si="16"/>
        <v>119914.29</v>
      </c>
      <c r="K25" s="8">
        <f t="shared" si="16"/>
        <v>101228.57</v>
      </c>
      <c r="L25" s="8">
        <f t="shared" si="16"/>
        <v>108384</v>
      </c>
      <c r="M25" s="8">
        <f t="shared" si="16"/>
        <v>124848</v>
      </c>
      <c r="N25" s="8">
        <f t="shared" si="16"/>
        <v>97320</v>
      </c>
      <c r="O25" s="8">
        <f t="shared" si="16"/>
        <v>178704</v>
      </c>
      <c r="P25" s="8">
        <f t="shared" si="16"/>
        <v>51990.86</v>
      </c>
      <c r="Q25" s="8">
        <f t="shared" si="1"/>
        <v>3504716.57</v>
      </c>
      <c r="R25" s="7"/>
    </row>
    <row r="26" spans="1:18">
      <c r="A26" s="5" t="s">
        <v>60</v>
      </c>
      <c r="B26" s="6" t="s">
        <v>61</v>
      </c>
      <c r="C26" s="6"/>
      <c r="D26" s="7" t="s">
        <v>20</v>
      </c>
      <c r="E26" s="8">
        <f t="shared" ref="E26:P26" si="17">E27</f>
        <v>5983954.29</v>
      </c>
      <c r="F26" s="8">
        <f t="shared" si="17"/>
        <v>4856941.71</v>
      </c>
      <c r="G26" s="8">
        <f t="shared" si="17"/>
        <v>3575040</v>
      </c>
      <c r="H26" s="8">
        <f t="shared" si="17"/>
        <v>6478573.71</v>
      </c>
      <c r="I26" s="8">
        <f t="shared" si="17"/>
        <v>884105.14</v>
      </c>
      <c r="J26" s="8">
        <f t="shared" si="17"/>
        <v>959314.29</v>
      </c>
      <c r="K26" s="8">
        <f t="shared" si="17"/>
        <v>809828.57</v>
      </c>
      <c r="L26" s="8">
        <f t="shared" si="17"/>
        <v>867072</v>
      </c>
      <c r="M26" s="8">
        <f t="shared" si="17"/>
        <v>998784</v>
      </c>
      <c r="N26" s="8">
        <f t="shared" si="17"/>
        <v>778560</v>
      </c>
      <c r="O26" s="8">
        <f t="shared" si="17"/>
        <v>1429632</v>
      </c>
      <c r="P26" s="8">
        <f t="shared" si="17"/>
        <v>415926.86</v>
      </c>
      <c r="Q26" s="8">
        <f t="shared" si="1"/>
        <v>28037732.57</v>
      </c>
      <c r="R26" s="7"/>
    </row>
    <row r="27" spans="1:18" ht="22.5">
      <c r="A27" s="5" t="s">
        <v>62</v>
      </c>
      <c r="B27" s="6" t="s">
        <v>309</v>
      </c>
      <c r="C27" s="6" t="s">
        <v>63</v>
      </c>
      <c r="D27" s="7" t="s">
        <v>42</v>
      </c>
      <c r="E27" s="8">
        <f>ROUND(E30/0.07*0.16,2)</f>
        <v>5983954.29</v>
      </c>
      <c r="F27" s="8">
        <f t="shared" ref="F27:P27" si="18">ROUND(F30/0.07*0.16,2)</f>
        <v>4856941.71</v>
      </c>
      <c r="G27" s="8">
        <f t="shared" si="18"/>
        <v>3575040</v>
      </c>
      <c r="H27" s="8">
        <f t="shared" si="18"/>
        <v>6478573.71</v>
      </c>
      <c r="I27" s="8">
        <f t="shared" si="18"/>
        <v>884105.14</v>
      </c>
      <c r="J27" s="8">
        <f t="shared" si="18"/>
        <v>959314.29</v>
      </c>
      <c r="K27" s="8">
        <f t="shared" si="18"/>
        <v>809828.57</v>
      </c>
      <c r="L27" s="8">
        <f t="shared" si="18"/>
        <v>867072</v>
      </c>
      <c r="M27" s="8">
        <f t="shared" si="18"/>
        <v>998784</v>
      </c>
      <c r="N27" s="8">
        <f t="shared" si="18"/>
        <v>778560</v>
      </c>
      <c r="O27" s="8">
        <f t="shared" si="18"/>
        <v>1429632</v>
      </c>
      <c r="P27" s="8">
        <f t="shared" si="18"/>
        <v>415926.86</v>
      </c>
      <c r="Q27" s="8">
        <f t="shared" si="1"/>
        <v>28037732.57</v>
      </c>
      <c r="R27" s="7"/>
    </row>
    <row r="28" spans="1:18">
      <c r="A28" s="5" t="s">
        <v>64</v>
      </c>
      <c r="B28" s="6" t="s">
        <v>65</v>
      </c>
      <c r="C28" s="6"/>
      <c r="D28" s="7" t="s">
        <v>20</v>
      </c>
      <c r="E28" s="8">
        <f t="shared" ref="E28:P28" si="19">E29</f>
        <v>2991977.14</v>
      </c>
      <c r="F28" s="8">
        <f t="shared" si="19"/>
        <v>2428470.86</v>
      </c>
      <c r="G28" s="8">
        <f t="shared" si="19"/>
        <v>1787520</v>
      </c>
      <c r="H28" s="8">
        <f t="shared" si="19"/>
        <v>3239286.86</v>
      </c>
      <c r="I28" s="8">
        <f t="shared" si="19"/>
        <v>442052.57</v>
      </c>
      <c r="J28" s="8">
        <f t="shared" si="19"/>
        <v>479657.14</v>
      </c>
      <c r="K28" s="8">
        <f t="shared" si="19"/>
        <v>404914.29</v>
      </c>
      <c r="L28" s="8">
        <f t="shared" si="19"/>
        <v>433536</v>
      </c>
      <c r="M28" s="8">
        <f t="shared" si="19"/>
        <v>499392</v>
      </c>
      <c r="N28" s="8">
        <f t="shared" si="19"/>
        <v>389280</v>
      </c>
      <c r="O28" s="8">
        <f t="shared" si="19"/>
        <v>714816</v>
      </c>
      <c r="P28" s="8">
        <f t="shared" si="19"/>
        <v>207963.43</v>
      </c>
      <c r="Q28" s="8">
        <f t="shared" si="1"/>
        <v>14018866.289999999</v>
      </c>
      <c r="R28" s="7"/>
    </row>
    <row r="29" spans="1:18" ht="22.5">
      <c r="A29" s="5" t="s">
        <v>66</v>
      </c>
      <c r="B29" s="6" t="s">
        <v>67</v>
      </c>
      <c r="C29" s="6" t="s">
        <v>68</v>
      </c>
      <c r="D29" s="7" t="s">
        <v>42</v>
      </c>
      <c r="E29" s="8">
        <f>ROUND(E30/0.07*0.08,2)</f>
        <v>2991977.14</v>
      </c>
      <c r="F29" s="8">
        <f t="shared" ref="F29:P29" si="20">ROUND(F30/0.07*0.08,2)</f>
        <v>2428470.86</v>
      </c>
      <c r="G29" s="8">
        <f t="shared" si="20"/>
        <v>1787520</v>
      </c>
      <c r="H29" s="8">
        <f t="shared" si="20"/>
        <v>3239286.86</v>
      </c>
      <c r="I29" s="8">
        <f t="shared" si="20"/>
        <v>442052.57</v>
      </c>
      <c r="J29" s="8">
        <f t="shared" si="20"/>
        <v>479657.14</v>
      </c>
      <c r="K29" s="8">
        <f t="shared" si="20"/>
        <v>404914.29</v>
      </c>
      <c r="L29" s="8">
        <f t="shared" si="20"/>
        <v>433536</v>
      </c>
      <c r="M29" s="8">
        <f t="shared" si="20"/>
        <v>499392</v>
      </c>
      <c r="N29" s="8">
        <f t="shared" si="20"/>
        <v>389280</v>
      </c>
      <c r="O29" s="8">
        <f t="shared" si="20"/>
        <v>714816</v>
      </c>
      <c r="P29" s="8">
        <f t="shared" si="20"/>
        <v>207963.43</v>
      </c>
      <c r="Q29" s="8">
        <f t="shared" si="1"/>
        <v>14018866.289999999</v>
      </c>
      <c r="R29" s="7"/>
    </row>
    <row r="30" spans="1:18" ht="22.5">
      <c r="A30" s="5" t="s">
        <v>69</v>
      </c>
      <c r="B30" s="6" t="s">
        <v>310</v>
      </c>
      <c r="C30" s="6" t="s">
        <v>70</v>
      </c>
      <c r="D30" s="7" t="s">
        <v>278</v>
      </c>
      <c r="E30" s="9">
        <v>2617980</v>
      </c>
      <c r="F30" s="9">
        <f>177076*12</f>
        <v>2124912</v>
      </c>
      <c r="G30" s="9">
        <v>1564080</v>
      </c>
      <c r="H30" s="9">
        <v>2834376</v>
      </c>
      <c r="I30" s="9">
        <v>386796</v>
      </c>
      <c r="J30" s="9">
        <v>419700</v>
      </c>
      <c r="K30" s="9">
        <v>354300</v>
      </c>
      <c r="L30" s="9">
        <f>31612*12</f>
        <v>379344</v>
      </c>
      <c r="M30" s="9">
        <f>36414*12</f>
        <v>436968</v>
      </c>
      <c r="N30" s="9">
        <f>28385*12</f>
        <v>340620</v>
      </c>
      <c r="O30" s="9">
        <v>625464</v>
      </c>
      <c r="P30" s="9">
        <f>15164*12</f>
        <v>181968</v>
      </c>
      <c r="Q30" s="8">
        <f t="shared" si="1"/>
        <v>12266508</v>
      </c>
      <c r="R30" s="7"/>
    </row>
    <row r="31" spans="1:18">
      <c r="A31" s="5" t="s">
        <v>71</v>
      </c>
      <c r="B31" s="6" t="s">
        <v>279</v>
      </c>
      <c r="C31" s="6" t="s">
        <v>27</v>
      </c>
      <c r="D31" s="7" t="s">
        <v>280</v>
      </c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8">
        <f t="shared" si="1"/>
        <v>0</v>
      </c>
      <c r="R31" s="7"/>
    </row>
    <row r="32" spans="1:18">
      <c r="A32" s="5" t="s">
        <v>72</v>
      </c>
      <c r="B32" s="6" t="s">
        <v>73</v>
      </c>
      <c r="C32" s="6"/>
      <c r="D32" s="7" t="s">
        <v>20</v>
      </c>
      <c r="E32" s="8">
        <f>E33+E35+E37</f>
        <v>3285300</v>
      </c>
      <c r="F32" s="8">
        <f t="shared" ref="F32:P32" si="21">F33+F35+F37</f>
        <v>33360</v>
      </c>
      <c r="G32" s="8">
        <f t="shared" si="21"/>
        <v>36720</v>
      </c>
      <c r="H32" s="8">
        <f t="shared" si="21"/>
        <v>528840</v>
      </c>
      <c r="I32" s="8">
        <f t="shared" si="21"/>
        <v>0</v>
      </c>
      <c r="J32" s="8">
        <f t="shared" si="21"/>
        <v>360</v>
      </c>
      <c r="K32" s="8">
        <f t="shared" si="21"/>
        <v>2160</v>
      </c>
      <c r="L32" s="8">
        <f t="shared" si="21"/>
        <v>14460</v>
      </c>
      <c r="M32" s="8">
        <f t="shared" si="21"/>
        <v>254280</v>
      </c>
      <c r="N32" s="8">
        <f t="shared" si="21"/>
        <v>35820</v>
      </c>
      <c r="O32" s="8">
        <f t="shared" si="21"/>
        <v>1440</v>
      </c>
      <c r="P32" s="8">
        <f t="shared" si="21"/>
        <v>220080</v>
      </c>
      <c r="Q32" s="8">
        <f t="shared" si="1"/>
        <v>4412820</v>
      </c>
      <c r="R32" s="7"/>
    </row>
    <row r="33" spans="1:18" ht="33.75">
      <c r="A33" s="5" t="s">
        <v>74</v>
      </c>
      <c r="B33" s="6" t="s">
        <v>281</v>
      </c>
      <c r="C33" s="6" t="s">
        <v>75</v>
      </c>
      <c r="D33" s="7" t="s">
        <v>282</v>
      </c>
      <c r="E33" s="8">
        <f>E34</f>
        <v>3281340</v>
      </c>
      <c r="F33" s="8">
        <f t="shared" ref="F33:P33" si="22">F34</f>
        <v>32280</v>
      </c>
      <c r="G33" s="8">
        <f t="shared" si="22"/>
        <v>35280</v>
      </c>
      <c r="H33" s="8">
        <f t="shared" si="22"/>
        <v>524160</v>
      </c>
      <c r="I33" s="8">
        <f t="shared" si="22"/>
        <v>0</v>
      </c>
      <c r="J33" s="8">
        <f t="shared" si="22"/>
        <v>0</v>
      </c>
      <c r="K33" s="8">
        <f t="shared" si="22"/>
        <v>0</v>
      </c>
      <c r="L33" s="8">
        <f t="shared" si="22"/>
        <v>13020</v>
      </c>
      <c r="M33" s="8">
        <f t="shared" si="22"/>
        <v>253920</v>
      </c>
      <c r="N33" s="8">
        <f t="shared" si="22"/>
        <v>34740</v>
      </c>
      <c r="O33" s="8">
        <f t="shared" si="22"/>
        <v>0</v>
      </c>
      <c r="P33" s="8">
        <f t="shared" si="22"/>
        <v>219360</v>
      </c>
      <c r="Q33" s="8">
        <f t="shared" si="1"/>
        <v>4394100</v>
      </c>
      <c r="R33" s="7"/>
    </row>
    <row r="34" spans="1:18" ht="33.75">
      <c r="A34" s="5" t="s">
        <v>76</v>
      </c>
      <c r="B34" s="6" t="s">
        <v>311</v>
      </c>
      <c r="C34" s="6" t="s">
        <v>75</v>
      </c>
      <c r="D34" s="7" t="s">
        <v>282</v>
      </c>
      <c r="E34" s="9">
        <v>3281340</v>
      </c>
      <c r="F34" s="9">
        <f>2690*12</f>
        <v>32280</v>
      </c>
      <c r="G34" s="9">
        <v>35280</v>
      </c>
      <c r="H34" s="9">
        <v>524160</v>
      </c>
      <c r="I34" s="9"/>
      <c r="J34" s="9"/>
      <c r="K34" s="9"/>
      <c r="L34" s="9">
        <v>13020</v>
      </c>
      <c r="M34" s="9">
        <f>21160*12</f>
        <v>253920</v>
      </c>
      <c r="N34" s="9">
        <f>2895*12</f>
        <v>34740</v>
      </c>
      <c r="O34" s="9"/>
      <c r="P34" s="9">
        <v>219360</v>
      </c>
      <c r="Q34" s="8">
        <f t="shared" si="1"/>
        <v>4394100</v>
      </c>
      <c r="R34" s="7"/>
    </row>
    <row r="35" spans="1:18">
      <c r="A35" s="5" t="s">
        <v>77</v>
      </c>
      <c r="B35" s="6" t="s">
        <v>78</v>
      </c>
      <c r="C35" s="6"/>
      <c r="D35" s="7" t="s">
        <v>20</v>
      </c>
      <c r="E35" s="8">
        <f>E36</f>
        <v>3960</v>
      </c>
      <c r="F35" s="8">
        <f t="shared" ref="F35:P35" si="23">F36</f>
        <v>1080</v>
      </c>
      <c r="G35" s="8">
        <f t="shared" si="23"/>
        <v>1440</v>
      </c>
      <c r="H35" s="8">
        <f t="shared" si="23"/>
        <v>4680</v>
      </c>
      <c r="I35" s="8">
        <f t="shared" si="23"/>
        <v>0</v>
      </c>
      <c r="J35" s="8">
        <f t="shared" si="23"/>
        <v>360</v>
      </c>
      <c r="K35" s="8">
        <f t="shared" si="23"/>
        <v>2160</v>
      </c>
      <c r="L35" s="8">
        <f t="shared" si="23"/>
        <v>1440</v>
      </c>
      <c r="M35" s="8">
        <f t="shared" si="23"/>
        <v>360</v>
      </c>
      <c r="N35" s="8">
        <f t="shared" si="23"/>
        <v>1080</v>
      </c>
      <c r="O35" s="8">
        <f t="shared" si="23"/>
        <v>1440</v>
      </c>
      <c r="P35" s="8">
        <f t="shared" si="23"/>
        <v>720</v>
      </c>
      <c r="Q35" s="8">
        <f t="shared" si="1"/>
        <v>18720</v>
      </c>
      <c r="R35" s="7"/>
    </row>
    <row r="36" spans="1:18" ht="22.5">
      <c r="A36" s="5" t="s">
        <v>79</v>
      </c>
      <c r="B36" s="6" t="s">
        <v>80</v>
      </c>
      <c r="C36" s="6" t="s">
        <v>27</v>
      </c>
      <c r="D36" s="7" t="s">
        <v>28</v>
      </c>
      <c r="E36" s="9">
        <v>3960</v>
      </c>
      <c r="F36" s="9">
        <v>1080</v>
      </c>
      <c r="G36" s="9">
        <v>1440</v>
      </c>
      <c r="H36" s="9">
        <v>4680</v>
      </c>
      <c r="I36" s="9"/>
      <c r="J36" s="9">
        <v>360</v>
      </c>
      <c r="K36" s="9">
        <v>2160</v>
      </c>
      <c r="L36" s="9">
        <v>1440</v>
      </c>
      <c r="M36" s="9">
        <v>360</v>
      </c>
      <c r="N36" s="9">
        <v>1080</v>
      </c>
      <c r="O36" s="9">
        <v>1440</v>
      </c>
      <c r="P36" s="9">
        <v>720</v>
      </c>
      <c r="Q36" s="8">
        <f t="shared" si="1"/>
        <v>18720</v>
      </c>
      <c r="R36" s="7"/>
    </row>
    <row r="37" spans="1:18">
      <c r="A37" s="5" t="s">
        <v>81</v>
      </c>
      <c r="B37" s="6" t="s">
        <v>82</v>
      </c>
      <c r="C37" s="6"/>
      <c r="D37" s="7" t="s">
        <v>20</v>
      </c>
      <c r="E37" s="8">
        <f>E38</f>
        <v>0</v>
      </c>
      <c r="F37" s="8">
        <f t="shared" ref="F37:P37" si="24">F38</f>
        <v>0</v>
      </c>
      <c r="G37" s="8">
        <f t="shared" si="24"/>
        <v>0</v>
      </c>
      <c r="H37" s="8">
        <f t="shared" si="24"/>
        <v>0</v>
      </c>
      <c r="I37" s="8">
        <f t="shared" si="24"/>
        <v>0</v>
      </c>
      <c r="J37" s="8">
        <f t="shared" si="24"/>
        <v>0</v>
      </c>
      <c r="K37" s="8">
        <f t="shared" si="24"/>
        <v>0</v>
      </c>
      <c r="L37" s="8">
        <f t="shared" si="24"/>
        <v>0</v>
      </c>
      <c r="M37" s="8">
        <f t="shared" si="24"/>
        <v>0</v>
      </c>
      <c r="N37" s="8">
        <f t="shared" si="24"/>
        <v>0</v>
      </c>
      <c r="O37" s="8">
        <f t="shared" si="24"/>
        <v>0</v>
      </c>
      <c r="P37" s="8">
        <f t="shared" si="24"/>
        <v>0</v>
      </c>
      <c r="Q37" s="8">
        <f t="shared" si="1"/>
        <v>0</v>
      </c>
      <c r="R37" s="7"/>
    </row>
    <row r="38" spans="1:18" ht="56.25">
      <c r="A38" s="5" t="s">
        <v>83</v>
      </c>
      <c r="B38" s="6" t="s">
        <v>284</v>
      </c>
      <c r="C38" s="6" t="s">
        <v>27</v>
      </c>
      <c r="D38" s="7" t="s">
        <v>84</v>
      </c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8">
        <f t="shared" si="1"/>
        <v>0</v>
      </c>
      <c r="R38" s="7"/>
    </row>
    <row r="39" spans="1:18">
      <c r="A39" s="5" t="s">
        <v>85</v>
      </c>
      <c r="B39" s="6" t="s">
        <v>86</v>
      </c>
      <c r="C39" s="6"/>
      <c r="D39" s="7" t="s">
        <v>20</v>
      </c>
      <c r="E39" s="8">
        <f>E40+E42+E44+E46+E48+E51+E53+E55+E59</f>
        <v>8917203.1900000013</v>
      </c>
      <c r="F39" s="8">
        <f t="shared" ref="F39:P39" si="25">F40+F42+F44+F46+F48+F51+F53+F55+F59</f>
        <v>8601599.5099999998</v>
      </c>
      <c r="G39" s="8">
        <f t="shared" si="25"/>
        <v>7043255.75</v>
      </c>
      <c r="H39" s="8">
        <f t="shared" si="25"/>
        <v>10977043.710000001</v>
      </c>
      <c r="I39" s="8">
        <f t="shared" si="25"/>
        <v>1225802.1399999999</v>
      </c>
      <c r="J39" s="8">
        <f t="shared" si="25"/>
        <v>1447696.29</v>
      </c>
      <c r="K39" s="8">
        <f t="shared" si="25"/>
        <v>1239188.2700000003</v>
      </c>
      <c r="L39" s="8">
        <f t="shared" si="25"/>
        <v>1499922.45</v>
      </c>
      <c r="M39" s="8">
        <f t="shared" si="25"/>
        <v>1305673</v>
      </c>
      <c r="N39" s="8">
        <f t="shared" si="25"/>
        <v>1192186.7</v>
      </c>
      <c r="O39" s="8">
        <f t="shared" si="25"/>
        <v>2525039</v>
      </c>
      <c r="P39" s="8">
        <f t="shared" si="25"/>
        <v>441835.86</v>
      </c>
      <c r="Q39" s="8">
        <f t="shared" si="1"/>
        <v>46416445.870000012</v>
      </c>
      <c r="R39" s="7"/>
    </row>
    <row r="40" spans="1:18" ht="22.5">
      <c r="A40" s="5" t="s">
        <v>87</v>
      </c>
      <c r="B40" s="6" t="s">
        <v>88</v>
      </c>
      <c r="C40" s="6"/>
      <c r="D40" s="7" t="s">
        <v>89</v>
      </c>
      <c r="E40" s="9">
        <v>6166580</v>
      </c>
      <c r="F40" s="9">
        <f>F68*3850+F69*3210</f>
        <v>6969910</v>
      </c>
      <c r="G40" s="9">
        <v>5786550</v>
      </c>
      <c r="H40" s="9">
        <v>8445510</v>
      </c>
      <c r="I40" s="9">
        <v>858000</v>
      </c>
      <c r="J40" s="9">
        <v>1029600</v>
      </c>
      <c r="K40" s="9">
        <v>858000</v>
      </c>
      <c r="L40" s="9">
        <f>392*2860</f>
        <v>1121120</v>
      </c>
      <c r="M40" s="9">
        <v>858000</v>
      </c>
      <c r="N40" s="9">
        <v>858000</v>
      </c>
      <c r="O40" s="9">
        <v>1870440</v>
      </c>
      <c r="P40" s="9">
        <f>22400*10</f>
        <v>224000</v>
      </c>
      <c r="Q40" s="8">
        <f t="shared" si="1"/>
        <v>35045710</v>
      </c>
      <c r="R40" s="7"/>
    </row>
    <row r="41" spans="1:18">
      <c r="A41" s="5" t="s">
        <v>90</v>
      </c>
      <c r="B41" s="6" t="s">
        <v>285</v>
      </c>
      <c r="C41" s="6" t="s">
        <v>312</v>
      </c>
      <c r="D41" s="11" t="s">
        <v>313</v>
      </c>
      <c r="E41" s="9">
        <f>E40*5%</f>
        <v>308329</v>
      </c>
      <c r="F41" s="9">
        <f>F40*5%</f>
        <v>348495.5</v>
      </c>
      <c r="G41" s="9">
        <f>G40*5%</f>
        <v>289327.5</v>
      </c>
      <c r="H41" s="9">
        <f>H40*5%</f>
        <v>422275.5</v>
      </c>
      <c r="I41" s="9">
        <v>37180</v>
      </c>
      <c r="J41" s="9">
        <f>J40*5%</f>
        <v>51480</v>
      </c>
      <c r="K41" s="9">
        <v>39897</v>
      </c>
      <c r="L41" s="9">
        <f>L40*5%</f>
        <v>56056</v>
      </c>
      <c r="M41" s="9">
        <v>38181</v>
      </c>
      <c r="N41" s="9">
        <v>36608</v>
      </c>
      <c r="O41" s="9">
        <v>81939</v>
      </c>
      <c r="P41" s="9">
        <f>P40*5%</f>
        <v>11200</v>
      </c>
      <c r="Q41" s="8">
        <f t="shared" si="1"/>
        <v>1720968.5</v>
      </c>
      <c r="R41" s="7"/>
    </row>
    <row r="42" spans="1:18">
      <c r="A42" s="5" t="s">
        <v>91</v>
      </c>
      <c r="B42" s="6" t="s">
        <v>92</v>
      </c>
      <c r="C42" s="6"/>
      <c r="D42" s="7"/>
      <c r="E42" s="8">
        <f>E43</f>
        <v>56000</v>
      </c>
      <c r="F42" s="8">
        <f t="shared" ref="F42:N42" si="26">F43</f>
        <v>47600</v>
      </c>
      <c r="G42" s="8">
        <f t="shared" si="26"/>
        <v>35200</v>
      </c>
      <c r="H42" s="8">
        <f t="shared" si="26"/>
        <v>66400</v>
      </c>
      <c r="I42" s="8">
        <f t="shared" si="26"/>
        <v>10000</v>
      </c>
      <c r="J42" s="8">
        <f t="shared" si="26"/>
        <v>10800</v>
      </c>
      <c r="K42" s="8">
        <f t="shared" si="26"/>
        <v>9200</v>
      </c>
      <c r="L42" s="8">
        <f t="shared" si="26"/>
        <v>10000</v>
      </c>
      <c r="M42" s="8">
        <f t="shared" si="26"/>
        <v>11200</v>
      </c>
      <c r="N42" s="8">
        <f t="shared" si="26"/>
        <v>8800</v>
      </c>
      <c r="O42" s="8">
        <f>O43</f>
        <v>19200</v>
      </c>
      <c r="P42" s="8">
        <f>P43</f>
        <v>4000</v>
      </c>
      <c r="Q42" s="8">
        <f t="shared" si="1"/>
        <v>288400</v>
      </c>
      <c r="R42" s="7"/>
    </row>
    <row r="43" spans="1:18" ht="33.75">
      <c r="A43" s="5" t="s">
        <v>93</v>
      </c>
      <c r="B43" s="6" t="s">
        <v>94</v>
      </c>
      <c r="C43" s="6" t="s">
        <v>27</v>
      </c>
      <c r="D43" s="11" t="s">
        <v>95</v>
      </c>
      <c r="E43" s="8">
        <f>E62*400</f>
        <v>56000</v>
      </c>
      <c r="F43" s="8">
        <f t="shared" ref="F43:P43" si="27">F62*400</f>
        <v>47600</v>
      </c>
      <c r="G43" s="8">
        <f t="shared" si="27"/>
        <v>35200</v>
      </c>
      <c r="H43" s="8">
        <f t="shared" si="27"/>
        <v>66400</v>
      </c>
      <c r="I43" s="8">
        <f t="shared" si="27"/>
        <v>10000</v>
      </c>
      <c r="J43" s="8">
        <f t="shared" si="27"/>
        <v>10800</v>
      </c>
      <c r="K43" s="8">
        <f t="shared" si="27"/>
        <v>9200</v>
      </c>
      <c r="L43" s="8">
        <f t="shared" si="27"/>
        <v>10000</v>
      </c>
      <c r="M43" s="8">
        <f t="shared" si="27"/>
        <v>11200</v>
      </c>
      <c r="N43" s="8">
        <f t="shared" si="27"/>
        <v>8800</v>
      </c>
      <c r="O43" s="8">
        <f t="shared" si="27"/>
        <v>19200</v>
      </c>
      <c r="P43" s="8">
        <f t="shared" si="27"/>
        <v>4000</v>
      </c>
      <c r="Q43" s="8">
        <f t="shared" si="1"/>
        <v>288400</v>
      </c>
      <c r="R43" s="7"/>
    </row>
    <row r="44" spans="1:18">
      <c r="A44" s="5" t="s">
        <v>96</v>
      </c>
      <c r="B44" s="6" t="s">
        <v>97</v>
      </c>
      <c r="C44" s="6"/>
      <c r="D44" s="7" t="s">
        <v>20</v>
      </c>
      <c r="E44" s="8">
        <f>E45</f>
        <v>302412.90000000002</v>
      </c>
      <c r="F44" s="8">
        <f t="shared" ref="F44:P44" si="28">F45</f>
        <v>300871.8</v>
      </c>
      <c r="G44" s="8">
        <f t="shared" si="28"/>
        <v>278907.75</v>
      </c>
      <c r="H44" s="8">
        <f t="shared" si="28"/>
        <v>571320</v>
      </c>
      <c r="I44" s="8">
        <f t="shared" si="28"/>
        <v>85185</v>
      </c>
      <c r="J44" s="8">
        <f t="shared" si="28"/>
        <v>110250</v>
      </c>
      <c r="K44" s="8">
        <f t="shared" si="28"/>
        <v>110181.3</v>
      </c>
      <c r="L44" s="8">
        <f t="shared" si="28"/>
        <v>92082.45</v>
      </c>
      <c r="M44" s="8">
        <f t="shared" si="28"/>
        <v>71205</v>
      </c>
      <c r="N44" s="8">
        <f t="shared" si="28"/>
        <v>74342.700000000012</v>
      </c>
      <c r="O44" s="8">
        <f t="shared" si="28"/>
        <v>173535</v>
      </c>
      <c r="P44" s="8">
        <f t="shared" si="28"/>
        <v>20325</v>
      </c>
      <c r="Q44" s="8">
        <f t="shared" si="1"/>
        <v>2190618.9</v>
      </c>
      <c r="R44" s="7"/>
    </row>
    <row r="45" spans="1:18" ht="33.75">
      <c r="A45" s="5" t="s">
        <v>98</v>
      </c>
      <c r="B45" s="6" t="s">
        <v>99</v>
      </c>
      <c r="C45" s="6" t="s">
        <v>27</v>
      </c>
      <c r="D45" s="11" t="s">
        <v>100</v>
      </c>
      <c r="E45" s="8">
        <f>E73*15</f>
        <v>302412.90000000002</v>
      </c>
      <c r="F45" s="8">
        <f t="shared" ref="F45:P45" si="29">F73*15</f>
        <v>300871.8</v>
      </c>
      <c r="G45" s="8">
        <f t="shared" si="29"/>
        <v>278907.75</v>
      </c>
      <c r="H45" s="8">
        <f t="shared" si="29"/>
        <v>571320</v>
      </c>
      <c r="I45" s="8">
        <f t="shared" si="29"/>
        <v>85185</v>
      </c>
      <c r="J45" s="8">
        <f t="shared" si="29"/>
        <v>110250</v>
      </c>
      <c r="K45" s="8">
        <f t="shared" si="29"/>
        <v>110181.3</v>
      </c>
      <c r="L45" s="8">
        <f t="shared" si="29"/>
        <v>92082.45</v>
      </c>
      <c r="M45" s="8">
        <f t="shared" si="29"/>
        <v>71205</v>
      </c>
      <c r="N45" s="8">
        <f t="shared" si="29"/>
        <v>74342.700000000012</v>
      </c>
      <c r="O45" s="8">
        <f t="shared" si="29"/>
        <v>173535</v>
      </c>
      <c r="P45" s="8">
        <f t="shared" si="29"/>
        <v>20325</v>
      </c>
      <c r="Q45" s="8">
        <f t="shared" si="1"/>
        <v>2190618.9</v>
      </c>
      <c r="R45" s="7"/>
    </row>
    <row r="46" spans="1:18">
      <c r="A46" s="5" t="s">
        <v>101</v>
      </c>
      <c r="B46" s="6" t="s">
        <v>102</v>
      </c>
      <c r="C46" s="6"/>
      <c r="D46" s="7" t="s">
        <v>20</v>
      </c>
      <c r="E46" s="8">
        <f>E47</f>
        <v>97216</v>
      </c>
      <c r="F46" s="8">
        <f t="shared" ref="F46:P46" si="30">F47</f>
        <v>112080</v>
      </c>
      <c r="G46" s="8">
        <f t="shared" si="30"/>
        <v>78568</v>
      </c>
      <c r="H46" s="8">
        <f t="shared" si="30"/>
        <v>163552</v>
      </c>
      <c r="I46" s="8">
        <f t="shared" si="30"/>
        <v>20904</v>
      </c>
      <c r="J46" s="8">
        <f t="shared" si="30"/>
        <v>25792</v>
      </c>
      <c r="K46" s="8">
        <f t="shared" si="30"/>
        <v>27218.400000000001</v>
      </c>
      <c r="L46" s="8">
        <f t="shared" si="30"/>
        <v>20616</v>
      </c>
      <c r="M46" s="8">
        <f t="shared" si="30"/>
        <v>20480</v>
      </c>
      <c r="N46" s="8">
        <f t="shared" si="30"/>
        <v>15744</v>
      </c>
      <c r="O46" s="8">
        <f t="shared" si="30"/>
        <v>37800</v>
      </c>
      <c r="P46" s="8">
        <f t="shared" si="30"/>
        <v>14400</v>
      </c>
      <c r="Q46" s="8">
        <f t="shared" si="1"/>
        <v>634370.4</v>
      </c>
      <c r="R46" s="7"/>
    </row>
    <row r="47" spans="1:18" ht="33.75">
      <c r="A47" s="5" t="s">
        <v>103</v>
      </c>
      <c r="B47" s="6" t="s">
        <v>104</v>
      </c>
      <c r="C47" s="6" t="s">
        <v>27</v>
      </c>
      <c r="D47" s="11" t="s">
        <v>105</v>
      </c>
      <c r="E47" s="8">
        <f>E74*8</f>
        <v>97216</v>
      </c>
      <c r="F47" s="8">
        <f t="shared" ref="F47:P47" si="31">F74*8</f>
        <v>112080</v>
      </c>
      <c r="G47" s="8">
        <f t="shared" si="31"/>
        <v>78568</v>
      </c>
      <c r="H47" s="8">
        <f t="shared" si="31"/>
        <v>163552</v>
      </c>
      <c r="I47" s="8">
        <f t="shared" si="31"/>
        <v>20904</v>
      </c>
      <c r="J47" s="8">
        <f t="shared" si="31"/>
        <v>25792</v>
      </c>
      <c r="K47" s="8">
        <f t="shared" si="31"/>
        <v>27218.400000000001</v>
      </c>
      <c r="L47" s="8">
        <f t="shared" si="31"/>
        <v>20616</v>
      </c>
      <c r="M47" s="8">
        <f t="shared" si="31"/>
        <v>20480</v>
      </c>
      <c r="N47" s="8">
        <f t="shared" si="31"/>
        <v>15744</v>
      </c>
      <c r="O47" s="8">
        <f t="shared" si="31"/>
        <v>37800</v>
      </c>
      <c r="P47" s="8">
        <f t="shared" si="31"/>
        <v>14400</v>
      </c>
      <c r="Q47" s="8">
        <f t="shared" si="1"/>
        <v>634370.4</v>
      </c>
      <c r="R47" s="7"/>
    </row>
    <row r="48" spans="1:18">
      <c r="A48" s="5" t="s">
        <v>106</v>
      </c>
      <c r="B48" s="6" t="s">
        <v>288</v>
      </c>
      <c r="C48" s="6"/>
      <c r="D48" s="7" t="s">
        <v>20</v>
      </c>
      <c r="E48" s="8">
        <f>E49+E50</f>
        <v>1404000</v>
      </c>
      <c r="F48" s="8">
        <f t="shared" ref="F48:P48" si="32">F49+F50</f>
        <v>522720</v>
      </c>
      <c r="G48" s="8">
        <f t="shared" si="32"/>
        <v>388800</v>
      </c>
      <c r="H48" s="8">
        <f t="shared" si="32"/>
        <v>851040</v>
      </c>
      <c r="I48" s="8">
        <f t="shared" si="32"/>
        <v>108000</v>
      </c>
      <c r="J48" s="8">
        <f t="shared" si="32"/>
        <v>116640</v>
      </c>
      <c r="K48" s="8">
        <f t="shared" si="32"/>
        <v>99360</v>
      </c>
      <c r="L48" s="8">
        <f t="shared" si="32"/>
        <v>112320</v>
      </c>
      <c r="M48" s="8">
        <f t="shared" si="32"/>
        <v>181440</v>
      </c>
      <c r="N48" s="8">
        <f t="shared" si="32"/>
        <v>103680</v>
      </c>
      <c r="O48" s="8">
        <f t="shared" si="32"/>
        <v>207360</v>
      </c>
      <c r="P48" s="8">
        <f t="shared" si="32"/>
        <v>90720</v>
      </c>
      <c r="Q48" s="8">
        <f t="shared" si="1"/>
        <v>4186080</v>
      </c>
      <c r="R48" s="7"/>
    </row>
    <row r="49" spans="1:18" ht="33.75">
      <c r="A49" s="5" t="s">
        <v>107</v>
      </c>
      <c r="B49" s="6" t="s">
        <v>289</v>
      </c>
      <c r="C49" s="6" t="s">
        <v>27</v>
      </c>
      <c r="D49" s="11" t="s">
        <v>108</v>
      </c>
      <c r="E49" s="8">
        <f>E62*4320</f>
        <v>604800</v>
      </c>
      <c r="F49" s="8">
        <f t="shared" ref="F49:P49" si="33">F62*4320</f>
        <v>514080</v>
      </c>
      <c r="G49" s="8">
        <f t="shared" si="33"/>
        <v>380160</v>
      </c>
      <c r="H49" s="8">
        <f t="shared" si="33"/>
        <v>717120</v>
      </c>
      <c r="I49" s="8">
        <f t="shared" si="33"/>
        <v>108000</v>
      </c>
      <c r="J49" s="8">
        <f t="shared" si="33"/>
        <v>116640</v>
      </c>
      <c r="K49" s="8">
        <f t="shared" si="33"/>
        <v>99360</v>
      </c>
      <c r="L49" s="8">
        <f t="shared" si="33"/>
        <v>108000</v>
      </c>
      <c r="M49" s="8">
        <f t="shared" si="33"/>
        <v>120960</v>
      </c>
      <c r="N49" s="8">
        <f t="shared" si="33"/>
        <v>95040</v>
      </c>
      <c r="O49" s="8">
        <f t="shared" si="33"/>
        <v>207360</v>
      </c>
      <c r="P49" s="8">
        <f t="shared" si="33"/>
        <v>43200</v>
      </c>
      <c r="Q49" s="8">
        <f t="shared" si="1"/>
        <v>3114720</v>
      </c>
      <c r="R49" s="7"/>
    </row>
    <row r="50" spans="1:18" ht="33.75">
      <c r="A50" s="5" t="s">
        <v>109</v>
      </c>
      <c r="B50" s="6" t="s">
        <v>290</v>
      </c>
      <c r="C50" s="6" t="s">
        <v>27</v>
      </c>
      <c r="D50" s="11" t="s">
        <v>291</v>
      </c>
      <c r="E50" s="8">
        <f>E72*4320</f>
        <v>799200</v>
      </c>
      <c r="F50" s="8">
        <f t="shared" ref="F50:P50" si="34">F72*4320</f>
        <v>8640</v>
      </c>
      <c r="G50" s="8">
        <f t="shared" si="34"/>
        <v>8640</v>
      </c>
      <c r="H50" s="8">
        <f t="shared" si="34"/>
        <v>133920</v>
      </c>
      <c r="I50" s="8">
        <f t="shared" si="34"/>
        <v>0</v>
      </c>
      <c r="J50" s="8">
        <f t="shared" si="34"/>
        <v>0</v>
      </c>
      <c r="K50" s="8">
        <f t="shared" si="34"/>
        <v>0</v>
      </c>
      <c r="L50" s="8">
        <f t="shared" si="34"/>
        <v>4320</v>
      </c>
      <c r="M50" s="8">
        <f t="shared" si="34"/>
        <v>60480</v>
      </c>
      <c r="N50" s="8">
        <f t="shared" si="34"/>
        <v>8640</v>
      </c>
      <c r="O50" s="8">
        <f t="shared" si="34"/>
        <v>0</v>
      </c>
      <c r="P50" s="8">
        <f t="shared" si="34"/>
        <v>47520</v>
      </c>
      <c r="Q50" s="8">
        <f t="shared" si="1"/>
        <v>1071360</v>
      </c>
      <c r="R50" s="7"/>
    </row>
    <row r="51" spans="1:18">
      <c r="A51" s="5" t="s">
        <v>110</v>
      </c>
      <c r="B51" s="6" t="s">
        <v>292</v>
      </c>
      <c r="C51" s="6"/>
      <c r="D51" s="7" t="s">
        <v>20</v>
      </c>
      <c r="E51" s="8">
        <f>E52</f>
        <v>747994.29</v>
      </c>
      <c r="F51" s="8">
        <f t="shared" ref="F51:P51" si="35">F52</f>
        <v>607117.71</v>
      </c>
      <c r="G51" s="8">
        <f t="shared" si="35"/>
        <v>446880</v>
      </c>
      <c r="H51" s="8">
        <f t="shared" si="35"/>
        <v>809821.71</v>
      </c>
      <c r="I51" s="8">
        <f t="shared" si="35"/>
        <v>110513.14</v>
      </c>
      <c r="J51" s="8">
        <f t="shared" si="35"/>
        <v>119914.29</v>
      </c>
      <c r="K51" s="8">
        <f t="shared" si="35"/>
        <v>101228.57</v>
      </c>
      <c r="L51" s="8">
        <f t="shared" si="35"/>
        <v>108384</v>
      </c>
      <c r="M51" s="8">
        <f t="shared" si="35"/>
        <v>124848</v>
      </c>
      <c r="N51" s="8">
        <f t="shared" si="35"/>
        <v>97320</v>
      </c>
      <c r="O51" s="8">
        <f t="shared" si="35"/>
        <v>178704</v>
      </c>
      <c r="P51" s="8">
        <f t="shared" si="35"/>
        <v>51990.86</v>
      </c>
      <c r="Q51" s="8">
        <f t="shared" si="1"/>
        <v>3504716.57</v>
      </c>
      <c r="R51" s="7"/>
    </row>
    <row r="52" spans="1:18" ht="22.5">
      <c r="A52" s="5" t="s">
        <v>111</v>
      </c>
      <c r="B52" s="6" t="s">
        <v>112</v>
      </c>
      <c r="C52" s="6" t="s">
        <v>27</v>
      </c>
      <c r="D52" s="7" t="s">
        <v>42</v>
      </c>
      <c r="E52" s="8">
        <f>ROUND(E30/0.07*0.02,2)</f>
        <v>747994.29</v>
      </c>
      <c r="F52" s="8">
        <f t="shared" ref="F52:P52" si="36">ROUND(F30/0.07*0.02,2)</f>
        <v>607117.71</v>
      </c>
      <c r="G52" s="8">
        <f t="shared" si="36"/>
        <v>446880</v>
      </c>
      <c r="H52" s="8">
        <f t="shared" si="36"/>
        <v>809821.71</v>
      </c>
      <c r="I52" s="8">
        <f t="shared" si="36"/>
        <v>110513.14</v>
      </c>
      <c r="J52" s="8">
        <f t="shared" si="36"/>
        <v>119914.29</v>
      </c>
      <c r="K52" s="8">
        <f t="shared" si="36"/>
        <v>101228.57</v>
      </c>
      <c r="L52" s="8">
        <f t="shared" si="36"/>
        <v>108384</v>
      </c>
      <c r="M52" s="8">
        <f t="shared" si="36"/>
        <v>124848</v>
      </c>
      <c r="N52" s="8">
        <f t="shared" si="36"/>
        <v>97320</v>
      </c>
      <c r="O52" s="8">
        <f t="shared" si="36"/>
        <v>178704</v>
      </c>
      <c r="P52" s="8">
        <f t="shared" si="36"/>
        <v>51990.86</v>
      </c>
      <c r="Q52" s="8">
        <f t="shared" si="1"/>
        <v>3504716.57</v>
      </c>
      <c r="R52" s="7"/>
    </row>
    <row r="53" spans="1:18">
      <c r="A53" s="5" t="s">
        <v>113</v>
      </c>
      <c r="B53" s="6" t="s">
        <v>293</v>
      </c>
      <c r="C53" s="6"/>
      <c r="D53" s="7" t="s">
        <v>20</v>
      </c>
      <c r="E53" s="8">
        <f>E54</f>
        <v>64000</v>
      </c>
      <c r="F53" s="8">
        <f t="shared" ref="F53:P53" si="37">F54</f>
        <v>0</v>
      </c>
      <c r="G53" s="8">
        <f t="shared" si="37"/>
        <v>25000</v>
      </c>
      <c r="H53" s="8">
        <f t="shared" si="37"/>
        <v>0</v>
      </c>
      <c r="I53" s="8">
        <f t="shared" si="37"/>
        <v>0</v>
      </c>
      <c r="J53" s="8">
        <f t="shared" si="37"/>
        <v>0</v>
      </c>
      <c r="K53" s="8">
        <f t="shared" si="37"/>
        <v>0</v>
      </c>
      <c r="L53" s="8">
        <f t="shared" si="37"/>
        <v>0</v>
      </c>
      <c r="M53" s="8">
        <f t="shared" si="37"/>
        <v>0</v>
      </c>
      <c r="N53" s="8">
        <f t="shared" si="37"/>
        <v>0</v>
      </c>
      <c r="O53" s="8">
        <f t="shared" si="37"/>
        <v>0</v>
      </c>
      <c r="P53" s="8">
        <f t="shared" si="37"/>
        <v>0</v>
      </c>
      <c r="Q53" s="8">
        <f t="shared" si="1"/>
        <v>89000</v>
      </c>
      <c r="R53" s="7"/>
    </row>
    <row r="54" spans="1:18" ht="90">
      <c r="A54" s="5" t="s">
        <v>114</v>
      </c>
      <c r="B54" s="6" t="s">
        <v>115</v>
      </c>
      <c r="C54" s="6" t="s">
        <v>27</v>
      </c>
      <c r="D54" s="11" t="s">
        <v>294</v>
      </c>
      <c r="E54" s="9">
        <v>64000</v>
      </c>
      <c r="F54" s="9"/>
      <c r="G54" s="9">
        <v>25000</v>
      </c>
      <c r="H54" s="9"/>
      <c r="I54" s="9"/>
      <c r="J54" s="9"/>
      <c r="K54" s="9"/>
      <c r="L54" s="9"/>
      <c r="M54" s="9"/>
      <c r="N54" s="9"/>
      <c r="O54" s="9"/>
      <c r="P54" s="9"/>
      <c r="Q54" s="8">
        <f t="shared" si="1"/>
        <v>89000</v>
      </c>
      <c r="R54" s="7"/>
    </row>
    <row r="55" spans="1:18">
      <c r="A55" s="5" t="s">
        <v>116</v>
      </c>
      <c r="B55" s="6" t="s">
        <v>295</v>
      </c>
      <c r="C55" s="6"/>
      <c r="D55" s="7" t="s">
        <v>20</v>
      </c>
      <c r="E55" s="8">
        <f>E56+E58</f>
        <v>79000</v>
      </c>
      <c r="F55" s="8">
        <f t="shared" ref="F55:P55" si="38">F56+F58</f>
        <v>9300</v>
      </c>
      <c r="G55" s="8">
        <f t="shared" si="38"/>
        <v>3350</v>
      </c>
      <c r="H55" s="8">
        <f t="shared" si="38"/>
        <v>37400</v>
      </c>
      <c r="I55" s="8">
        <f t="shared" si="38"/>
        <v>1200</v>
      </c>
      <c r="J55" s="8">
        <f t="shared" si="38"/>
        <v>2700</v>
      </c>
      <c r="K55" s="8">
        <f t="shared" si="38"/>
        <v>2000</v>
      </c>
      <c r="L55" s="8">
        <f t="shared" si="38"/>
        <v>3400</v>
      </c>
      <c r="M55" s="8">
        <f t="shared" si="38"/>
        <v>6500</v>
      </c>
      <c r="N55" s="8">
        <f t="shared" si="38"/>
        <v>2300</v>
      </c>
      <c r="O55" s="8">
        <f t="shared" si="38"/>
        <v>6000</v>
      </c>
      <c r="P55" s="8">
        <f t="shared" si="38"/>
        <v>4400</v>
      </c>
      <c r="Q55" s="8">
        <f t="shared" si="1"/>
        <v>157550</v>
      </c>
      <c r="R55" s="7"/>
    </row>
    <row r="56" spans="1:18">
      <c r="A56" s="5" t="s">
        <v>117</v>
      </c>
      <c r="B56" s="6" t="s">
        <v>296</v>
      </c>
      <c r="C56" s="6" t="s">
        <v>27</v>
      </c>
      <c r="D56" s="7" t="s">
        <v>20</v>
      </c>
      <c r="E56" s="8">
        <f>E57</f>
        <v>74000</v>
      </c>
      <c r="F56" s="8">
        <f t="shared" ref="F56:P56" si="39">F57</f>
        <v>800</v>
      </c>
      <c r="G56" s="8">
        <f t="shared" si="39"/>
        <v>800</v>
      </c>
      <c r="H56" s="8">
        <f t="shared" si="39"/>
        <v>12400</v>
      </c>
      <c r="I56" s="8">
        <f t="shared" si="39"/>
        <v>0</v>
      </c>
      <c r="J56" s="8">
        <f t="shared" si="39"/>
        <v>0</v>
      </c>
      <c r="K56" s="8">
        <f t="shared" si="39"/>
        <v>0</v>
      </c>
      <c r="L56" s="8">
        <f t="shared" si="39"/>
        <v>400</v>
      </c>
      <c r="M56" s="8">
        <f t="shared" si="39"/>
        <v>5600</v>
      </c>
      <c r="N56" s="8">
        <f t="shared" si="39"/>
        <v>800</v>
      </c>
      <c r="O56" s="8">
        <f t="shared" si="39"/>
        <v>0</v>
      </c>
      <c r="P56" s="8">
        <f t="shared" si="39"/>
        <v>4400</v>
      </c>
      <c r="Q56" s="8">
        <f t="shared" si="1"/>
        <v>99200</v>
      </c>
      <c r="R56" s="7"/>
    </row>
    <row r="57" spans="1:18" ht="45">
      <c r="A57" s="5" t="s">
        <v>118</v>
      </c>
      <c r="B57" s="6" t="s">
        <v>119</v>
      </c>
      <c r="C57" s="6" t="s">
        <v>27</v>
      </c>
      <c r="D57" s="11" t="s">
        <v>297</v>
      </c>
      <c r="E57" s="8">
        <f>E72*400</f>
        <v>74000</v>
      </c>
      <c r="F57" s="8">
        <f t="shared" ref="F57:P57" si="40">F72*400</f>
        <v>800</v>
      </c>
      <c r="G57" s="8">
        <f t="shared" si="40"/>
        <v>800</v>
      </c>
      <c r="H57" s="8">
        <f t="shared" si="40"/>
        <v>12400</v>
      </c>
      <c r="I57" s="8">
        <f t="shared" si="40"/>
        <v>0</v>
      </c>
      <c r="J57" s="8">
        <f t="shared" si="40"/>
        <v>0</v>
      </c>
      <c r="K57" s="8">
        <f t="shared" si="40"/>
        <v>0</v>
      </c>
      <c r="L57" s="8">
        <f t="shared" si="40"/>
        <v>400</v>
      </c>
      <c r="M57" s="8">
        <f t="shared" si="40"/>
        <v>5600</v>
      </c>
      <c r="N57" s="8">
        <f t="shared" si="40"/>
        <v>800</v>
      </c>
      <c r="O57" s="8">
        <f t="shared" si="40"/>
        <v>0</v>
      </c>
      <c r="P57" s="8">
        <f t="shared" si="40"/>
        <v>4400</v>
      </c>
      <c r="Q57" s="8">
        <f t="shared" si="1"/>
        <v>99200</v>
      </c>
      <c r="R57" s="7"/>
    </row>
    <row r="58" spans="1:18">
      <c r="A58" s="5" t="s">
        <v>120</v>
      </c>
      <c r="B58" s="6" t="s">
        <v>298</v>
      </c>
      <c r="C58" s="6" t="s">
        <v>27</v>
      </c>
      <c r="D58" s="11" t="s">
        <v>121</v>
      </c>
      <c r="E58" s="12">
        <v>5000</v>
      </c>
      <c r="F58" s="12">
        <v>8500</v>
      </c>
      <c r="G58" s="12">
        <v>2550</v>
      </c>
      <c r="H58" s="12">
        <v>25000</v>
      </c>
      <c r="I58" s="12">
        <v>1200</v>
      </c>
      <c r="J58" s="12">
        <v>2700</v>
      </c>
      <c r="K58" s="12">
        <v>2000</v>
      </c>
      <c r="L58" s="12">
        <v>3000</v>
      </c>
      <c r="M58" s="12">
        <v>900</v>
      </c>
      <c r="N58" s="12">
        <v>1500</v>
      </c>
      <c r="O58" s="12">
        <v>6000</v>
      </c>
      <c r="P58" s="12"/>
      <c r="Q58" s="8">
        <f t="shared" si="1"/>
        <v>58350</v>
      </c>
      <c r="R58" s="7"/>
    </row>
    <row r="59" spans="1:18">
      <c r="A59" s="5" t="s">
        <v>122</v>
      </c>
      <c r="B59" s="6" t="s">
        <v>299</v>
      </c>
      <c r="C59" s="6"/>
      <c r="D59" s="7" t="s">
        <v>20</v>
      </c>
      <c r="E59" s="8">
        <f>E60</f>
        <v>0</v>
      </c>
      <c r="F59" s="8">
        <f t="shared" ref="F59:P59" si="41">F60</f>
        <v>32000</v>
      </c>
      <c r="G59" s="8">
        <f t="shared" si="41"/>
        <v>0</v>
      </c>
      <c r="H59" s="8">
        <f t="shared" si="41"/>
        <v>32000</v>
      </c>
      <c r="I59" s="8">
        <f t="shared" si="41"/>
        <v>32000</v>
      </c>
      <c r="J59" s="8">
        <f t="shared" si="41"/>
        <v>32000</v>
      </c>
      <c r="K59" s="8">
        <f t="shared" si="41"/>
        <v>32000</v>
      </c>
      <c r="L59" s="8">
        <f t="shared" si="41"/>
        <v>32000</v>
      </c>
      <c r="M59" s="8">
        <f t="shared" si="41"/>
        <v>32000</v>
      </c>
      <c r="N59" s="8">
        <f t="shared" si="41"/>
        <v>32000</v>
      </c>
      <c r="O59" s="8">
        <f t="shared" si="41"/>
        <v>32000</v>
      </c>
      <c r="P59" s="8">
        <f t="shared" si="41"/>
        <v>32000</v>
      </c>
      <c r="Q59" s="8">
        <f t="shared" si="1"/>
        <v>320000</v>
      </c>
      <c r="R59" s="7"/>
    </row>
    <row r="60" spans="1:18" ht="135.75" thickBot="1">
      <c r="A60" s="5" t="s">
        <v>123</v>
      </c>
      <c r="B60" s="13" t="s">
        <v>124</v>
      </c>
      <c r="C60" s="6" t="s">
        <v>27</v>
      </c>
      <c r="D60" s="14" t="s">
        <v>300</v>
      </c>
      <c r="E60" s="2"/>
      <c r="F60" s="2">
        <v>32000</v>
      </c>
      <c r="G60" s="2"/>
      <c r="H60" s="2">
        <v>32000</v>
      </c>
      <c r="I60" s="2">
        <v>32000</v>
      </c>
      <c r="J60" s="2">
        <v>32000</v>
      </c>
      <c r="K60" s="2">
        <v>32000</v>
      </c>
      <c r="L60" s="2">
        <v>32000</v>
      </c>
      <c r="M60" s="2">
        <v>32000</v>
      </c>
      <c r="N60" s="2">
        <v>32000</v>
      </c>
      <c r="O60" s="2">
        <v>32000</v>
      </c>
      <c r="P60" s="2">
        <v>32000</v>
      </c>
      <c r="Q60" s="8">
        <f t="shared" si="1"/>
        <v>320000</v>
      </c>
      <c r="R60" s="15"/>
    </row>
    <row r="61" spans="1:18" ht="12" thickTop="1">
      <c r="A61" s="5" t="s">
        <v>125</v>
      </c>
      <c r="B61" s="16" t="s">
        <v>126</v>
      </c>
      <c r="C61" s="16"/>
      <c r="D61" s="17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8">
        <f t="shared" si="1"/>
        <v>0</v>
      </c>
      <c r="R61" s="19"/>
    </row>
    <row r="62" spans="1:18" ht="33.75">
      <c r="A62" s="5" t="s">
        <v>127</v>
      </c>
      <c r="B62" s="6" t="s">
        <v>128</v>
      </c>
      <c r="C62" s="6"/>
      <c r="D62" s="7" t="s">
        <v>301</v>
      </c>
      <c r="E62" s="8">
        <f>E63+E64+E65+E66</f>
        <v>140</v>
      </c>
      <c r="F62" s="8">
        <f t="shared" ref="F62:P62" si="42">F63+F64+F65+F66</f>
        <v>119</v>
      </c>
      <c r="G62" s="8">
        <f t="shared" si="42"/>
        <v>88</v>
      </c>
      <c r="H62" s="8">
        <f t="shared" si="42"/>
        <v>166</v>
      </c>
      <c r="I62" s="8">
        <f t="shared" si="42"/>
        <v>25</v>
      </c>
      <c r="J62" s="8">
        <f t="shared" si="42"/>
        <v>27</v>
      </c>
      <c r="K62" s="8">
        <f t="shared" si="42"/>
        <v>23</v>
      </c>
      <c r="L62" s="8">
        <f t="shared" si="42"/>
        <v>25</v>
      </c>
      <c r="M62" s="8">
        <f t="shared" si="42"/>
        <v>28</v>
      </c>
      <c r="N62" s="8">
        <f t="shared" si="42"/>
        <v>22</v>
      </c>
      <c r="O62" s="8">
        <f t="shared" si="42"/>
        <v>48</v>
      </c>
      <c r="P62" s="8">
        <f t="shared" si="42"/>
        <v>10</v>
      </c>
      <c r="Q62" s="8">
        <f t="shared" si="1"/>
        <v>721</v>
      </c>
      <c r="R62" s="7"/>
    </row>
    <row r="63" spans="1:18">
      <c r="A63" s="5" t="s">
        <v>129</v>
      </c>
      <c r="B63" s="20" t="s">
        <v>130</v>
      </c>
      <c r="C63" s="20"/>
      <c r="D63" s="7"/>
      <c r="E63" s="9">
        <v>69</v>
      </c>
      <c r="F63" s="9">
        <v>49</v>
      </c>
      <c r="G63" s="9">
        <v>88</v>
      </c>
      <c r="H63" s="9"/>
      <c r="I63" s="9"/>
      <c r="J63" s="9"/>
      <c r="K63" s="9"/>
      <c r="L63" s="9"/>
      <c r="M63" s="9"/>
      <c r="N63" s="9"/>
      <c r="O63" s="9"/>
      <c r="P63" s="9"/>
      <c r="Q63" s="8">
        <f t="shared" si="1"/>
        <v>206</v>
      </c>
      <c r="R63" s="7"/>
    </row>
    <row r="64" spans="1:18">
      <c r="A64" s="5" t="s">
        <v>131</v>
      </c>
      <c r="B64" s="20" t="s">
        <v>132</v>
      </c>
      <c r="C64" s="20"/>
      <c r="D64" s="7"/>
      <c r="E64" s="9">
        <v>71</v>
      </c>
      <c r="F64" s="9">
        <v>70</v>
      </c>
      <c r="G64" s="9"/>
      <c r="H64" s="9">
        <v>166</v>
      </c>
      <c r="I64" s="9"/>
      <c r="J64" s="9"/>
      <c r="K64" s="9"/>
      <c r="L64" s="9"/>
      <c r="M64" s="9"/>
      <c r="N64" s="9"/>
      <c r="O64" s="9"/>
      <c r="P64" s="9"/>
      <c r="Q64" s="8">
        <f t="shared" si="1"/>
        <v>307</v>
      </c>
      <c r="R64" s="7"/>
    </row>
    <row r="65" spans="1:18">
      <c r="A65" s="5" t="s">
        <v>133</v>
      </c>
      <c r="B65" s="20" t="s">
        <v>134</v>
      </c>
      <c r="C65" s="20"/>
      <c r="D65" s="7"/>
      <c r="E65" s="9"/>
      <c r="F65" s="9"/>
      <c r="G65" s="9"/>
      <c r="H65" s="9"/>
      <c r="I65" s="9">
        <v>25</v>
      </c>
      <c r="J65" s="9">
        <v>27</v>
      </c>
      <c r="K65" s="9">
        <v>23</v>
      </c>
      <c r="L65" s="9">
        <v>25</v>
      </c>
      <c r="M65" s="9">
        <v>28</v>
      </c>
      <c r="N65" s="9">
        <v>22</v>
      </c>
      <c r="O65" s="9">
        <v>48</v>
      </c>
      <c r="P65" s="9"/>
      <c r="Q65" s="8">
        <f t="shared" si="1"/>
        <v>198</v>
      </c>
      <c r="R65" s="7"/>
    </row>
    <row r="66" spans="1:18">
      <c r="A66" s="5" t="s">
        <v>135</v>
      </c>
      <c r="B66" s="20" t="s">
        <v>136</v>
      </c>
      <c r="C66" s="20"/>
      <c r="D66" s="7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>
        <v>10</v>
      </c>
      <c r="Q66" s="8">
        <f t="shared" si="1"/>
        <v>10</v>
      </c>
      <c r="R66" s="7"/>
    </row>
    <row r="67" spans="1:18" ht="56.25">
      <c r="A67" s="5" t="s">
        <v>137</v>
      </c>
      <c r="B67" s="6" t="s">
        <v>138</v>
      </c>
      <c r="C67" s="6"/>
      <c r="D67" s="7" t="s">
        <v>302</v>
      </c>
      <c r="E67" s="8">
        <f>E68+E69+E70+E71</f>
        <v>1746</v>
      </c>
      <c r="F67" s="8">
        <f t="shared" ref="F67:P67" si="43">F68+F69+F70+F71</f>
        <v>2015</v>
      </c>
      <c r="G67" s="8">
        <f t="shared" si="43"/>
        <v>1503</v>
      </c>
      <c r="H67" s="8">
        <f t="shared" si="43"/>
        <v>2631</v>
      </c>
      <c r="I67" s="8">
        <f t="shared" si="43"/>
        <v>260</v>
      </c>
      <c r="J67" s="8">
        <f t="shared" si="43"/>
        <v>360</v>
      </c>
      <c r="K67" s="8">
        <f t="shared" si="43"/>
        <v>279</v>
      </c>
      <c r="L67" s="8">
        <f t="shared" si="43"/>
        <v>392</v>
      </c>
      <c r="M67" s="8">
        <f t="shared" si="43"/>
        <v>267</v>
      </c>
      <c r="N67" s="8">
        <f t="shared" si="43"/>
        <v>256</v>
      </c>
      <c r="O67" s="8">
        <f t="shared" si="43"/>
        <v>573</v>
      </c>
      <c r="P67" s="8">
        <f t="shared" si="43"/>
        <v>0</v>
      </c>
      <c r="Q67" s="8">
        <f t="shared" si="1"/>
        <v>10282</v>
      </c>
      <c r="R67" s="7"/>
    </row>
    <row r="68" spans="1:18">
      <c r="A68" s="5" t="s">
        <v>139</v>
      </c>
      <c r="B68" s="20" t="s">
        <v>130</v>
      </c>
      <c r="C68" s="20"/>
      <c r="D68" s="7"/>
      <c r="E68" s="9">
        <v>878</v>
      </c>
      <c r="F68" s="9">
        <v>784</v>
      </c>
      <c r="G68" s="9">
        <v>1503</v>
      </c>
      <c r="H68" s="9"/>
      <c r="I68" s="9"/>
      <c r="J68" s="9"/>
      <c r="K68" s="9"/>
      <c r="L68" s="9"/>
      <c r="M68" s="9"/>
      <c r="N68" s="9"/>
      <c r="O68" s="9"/>
      <c r="P68" s="9"/>
      <c r="Q68" s="8">
        <f t="shared" ref="Q68:Q74" si="44">SUM(E68:P68)</f>
        <v>3165</v>
      </c>
      <c r="R68" s="7"/>
    </row>
    <row r="69" spans="1:18">
      <c r="A69" s="5" t="s">
        <v>140</v>
      </c>
      <c r="B69" s="20" t="s">
        <v>132</v>
      </c>
      <c r="C69" s="20"/>
      <c r="D69" s="7"/>
      <c r="E69" s="9">
        <v>868</v>
      </c>
      <c r="F69" s="9">
        <v>1231</v>
      </c>
      <c r="G69" s="9"/>
      <c r="H69" s="9">
        <v>2631</v>
      </c>
      <c r="I69" s="9"/>
      <c r="J69" s="9"/>
      <c r="K69" s="9"/>
      <c r="L69" s="9"/>
      <c r="M69" s="9"/>
      <c r="N69" s="9"/>
      <c r="O69" s="9"/>
      <c r="P69" s="9"/>
      <c r="Q69" s="8">
        <f t="shared" si="44"/>
        <v>4730</v>
      </c>
      <c r="R69" s="7"/>
    </row>
    <row r="70" spans="1:18">
      <c r="A70" s="5" t="s">
        <v>141</v>
      </c>
      <c r="B70" s="20" t="s">
        <v>134</v>
      </c>
      <c r="C70" s="20"/>
      <c r="D70" s="7"/>
      <c r="E70" s="9"/>
      <c r="F70" s="9"/>
      <c r="G70" s="9"/>
      <c r="H70" s="9"/>
      <c r="I70" s="9">
        <v>260</v>
      </c>
      <c r="J70" s="9">
        <v>360</v>
      </c>
      <c r="K70" s="9">
        <v>279</v>
      </c>
      <c r="L70" s="9">
        <v>392</v>
      </c>
      <c r="M70" s="9">
        <v>267</v>
      </c>
      <c r="N70" s="9">
        <v>256</v>
      </c>
      <c r="O70" s="9">
        <v>573</v>
      </c>
      <c r="P70" s="9"/>
      <c r="Q70" s="8">
        <f t="shared" si="44"/>
        <v>2387</v>
      </c>
      <c r="R70" s="7"/>
    </row>
    <row r="71" spans="1:18">
      <c r="A71" s="5" t="s">
        <v>142</v>
      </c>
      <c r="B71" s="20" t="s">
        <v>136</v>
      </c>
      <c r="C71" s="20"/>
      <c r="D71" s="7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8">
        <f t="shared" si="44"/>
        <v>0</v>
      </c>
      <c r="R71" s="7"/>
    </row>
    <row r="72" spans="1:18">
      <c r="A72" s="5" t="s">
        <v>143</v>
      </c>
      <c r="B72" s="6" t="s">
        <v>303</v>
      </c>
      <c r="C72" s="6"/>
      <c r="D72" s="7"/>
      <c r="E72" s="9">
        <v>185</v>
      </c>
      <c r="F72" s="9">
        <v>2</v>
      </c>
      <c r="G72" s="9">
        <v>2</v>
      </c>
      <c r="H72" s="9">
        <v>31</v>
      </c>
      <c r="I72" s="9"/>
      <c r="J72" s="9"/>
      <c r="K72" s="9"/>
      <c r="L72" s="9">
        <v>1</v>
      </c>
      <c r="M72" s="9">
        <v>14</v>
      </c>
      <c r="N72" s="9">
        <v>2</v>
      </c>
      <c r="O72" s="9"/>
      <c r="P72" s="9">
        <v>11</v>
      </c>
      <c r="Q72" s="8">
        <f t="shared" si="44"/>
        <v>248</v>
      </c>
      <c r="R72" s="7"/>
    </row>
    <row r="73" spans="1:18">
      <c r="A73" s="5" t="s">
        <v>144</v>
      </c>
      <c r="B73" s="20" t="s">
        <v>304</v>
      </c>
      <c r="C73" s="20"/>
      <c r="D73" s="11"/>
      <c r="E73" s="9">
        <v>20160.86</v>
      </c>
      <c r="F73" s="9">
        <v>20058.12</v>
      </c>
      <c r="G73" s="9">
        <v>18593.849999999999</v>
      </c>
      <c r="H73" s="9">
        <v>38088</v>
      </c>
      <c r="I73" s="9">
        <v>5679</v>
      </c>
      <c r="J73" s="9">
        <v>7350</v>
      </c>
      <c r="K73" s="9">
        <v>7345.42</v>
      </c>
      <c r="L73" s="9">
        <v>6138.83</v>
      </c>
      <c r="M73" s="9">
        <v>4747</v>
      </c>
      <c r="N73" s="9">
        <v>4956.18</v>
      </c>
      <c r="O73" s="9">
        <v>11569</v>
      </c>
      <c r="P73" s="9">
        <v>1355</v>
      </c>
      <c r="Q73" s="8">
        <f t="shared" si="44"/>
        <v>146041.25999999998</v>
      </c>
      <c r="R73" s="7"/>
    </row>
    <row r="74" spans="1:18">
      <c r="A74" s="5" t="s">
        <v>145</v>
      </c>
      <c r="B74" s="20" t="s">
        <v>305</v>
      </c>
      <c r="C74" s="20"/>
      <c r="D74" s="11"/>
      <c r="E74" s="9">
        <v>12152</v>
      </c>
      <c r="F74" s="9">
        <v>14010</v>
      </c>
      <c r="G74" s="9">
        <v>9821</v>
      </c>
      <c r="H74" s="9">
        <v>20444</v>
      </c>
      <c r="I74" s="9">
        <v>2613</v>
      </c>
      <c r="J74" s="9">
        <v>3224</v>
      </c>
      <c r="K74" s="9">
        <v>3402.3</v>
      </c>
      <c r="L74" s="9">
        <v>2577</v>
      </c>
      <c r="M74" s="9">
        <v>2560</v>
      </c>
      <c r="N74" s="9">
        <v>1968</v>
      </c>
      <c r="O74" s="9">
        <v>4725</v>
      </c>
      <c r="P74" s="9">
        <v>1800</v>
      </c>
      <c r="Q74" s="8">
        <f t="shared" si="44"/>
        <v>79296.3</v>
      </c>
      <c r="R74" s="7"/>
    </row>
  </sheetData>
  <protectedRanges>
    <protectedRange password="E9C1" sqref="D30 C31 A5:D6 B7:D29 B32:D74 Q5:R74 A7:A74 A2:R4" name="区域1_1"/>
    <protectedRange password="E9C1" sqref="B30:C30 B31" name="区域1_1_1"/>
    <protectedRange password="E9C1" sqref="D31" name="区域1_2"/>
  </protectedRanges>
  <mergeCells count="7">
    <mergeCell ref="A1:R1"/>
    <mergeCell ref="A2:A3"/>
    <mergeCell ref="B2:B3"/>
    <mergeCell ref="C2:C3"/>
    <mergeCell ref="D2:D3"/>
    <mergeCell ref="Q2:Q3"/>
    <mergeCell ref="R2:R3"/>
  </mergeCells>
  <phoneticPr fontId="2" type="noConversion"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O74"/>
  <sheetViews>
    <sheetView workbookViewId="0">
      <selection activeCell="P4" sqref="P4"/>
    </sheetView>
  </sheetViews>
  <sheetFormatPr defaultRowHeight="11.25"/>
  <cols>
    <col min="1" max="1" width="9" style="21"/>
    <col min="2" max="2" width="15.375" style="3" customWidth="1"/>
    <col min="3" max="3" width="9" style="3"/>
    <col min="4" max="4" width="9" style="22"/>
    <col min="5" max="5" width="12.75" style="3" customWidth="1"/>
    <col min="6" max="6" width="9" style="3"/>
    <col min="7" max="7" width="13.125" style="3" customWidth="1"/>
    <col min="8" max="8" width="10.375" style="3" customWidth="1"/>
    <col min="9" max="9" width="12.625" style="3" customWidth="1"/>
    <col min="10" max="10" width="10.875" style="3" customWidth="1"/>
    <col min="11" max="11" width="9.75" style="3" bestFit="1" customWidth="1"/>
    <col min="12" max="12" width="12.375" style="3" customWidth="1"/>
    <col min="13" max="13" width="11.875" style="3" customWidth="1"/>
    <col min="14" max="14" width="13.25" style="3" customWidth="1"/>
    <col min="15" max="16384" width="9" style="3"/>
  </cols>
  <sheetData>
    <row r="1" spans="1:15" ht="25.5">
      <c r="A1" s="92" t="s">
        <v>314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</row>
    <row r="2" spans="1:15" ht="22.5">
      <c r="A2" s="93" t="s">
        <v>1</v>
      </c>
      <c r="B2" s="93" t="s">
        <v>2</v>
      </c>
      <c r="C2" s="93" t="s">
        <v>3</v>
      </c>
      <c r="D2" s="93" t="s">
        <v>4</v>
      </c>
      <c r="E2" s="4" t="s">
        <v>315</v>
      </c>
      <c r="F2" s="4" t="s">
        <v>316</v>
      </c>
      <c r="G2" s="4" t="s">
        <v>317</v>
      </c>
      <c r="H2" s="4" t="s">
        <v>318</v>
      </c>
      <c r="I2" s="4" t="s">
        <v>319</v>
      </c>
      <c r="J2" s="4" t="s">
        <v>320</v>
      </c>
      <c r="K2" s="4" t="s">
        <v>321</v>
      </c>
      <c r="L2" s="4" t="s">
        <v>322</v>
      </c>
      <c r="M2" s="4" t="s">
        <v>323</v>
      </c>
      <c r="N2" s="93" t="s">
        <v>16</v>
      </c>
      <c r="O2" s="93" t="s">
        <v>17</v>
      </c>
    </row>
    <row r="3" spans="1:15">
      <c r="A3" s="94"/>
      <c r="B3" s="94"/>
      <c r="C3" s="94"/>
      <c r="D3" s="94"/>
      <c r="E3" s="4" t="s">
        <v>324</v>
      </c>
      <c r="F3" s="4" t="s">
        <v>325</v>
      </c>
      <c r="G3" s="4" t="s">
        <v>326</v>
      </c>
      <c r="H3" s="4" t="s">
        <v>327</v>
      </c>
      <c r="I3" s="4" t="s">
        <v>327</v>
      </c>
      <c r="J3" s="4" t="s">
        <v>327</v>
      </c>
      <c r="K3" s="4" t="s">
        <v>327</v>
      </c>
      <c r="L3" s="4" t="s">
        <v>326</v>
      </c>
      <c r="M3" s="4" t="s">
        <v>327</v>
      </c>
      <c r="N3" s="94"/>
      <c r="O3" s="94"/>
    </row>
    <row r="4" spans="1:15">
      <c r="A4" s="5" t="s">
        <v>18</v>
      </c>
      <c r="B4" s="6" t="s">
        <v>19</v>
      </c>
      <c r="C4" s="6"/>
      <c r="D4" s="7" t="s">
        <v>20</v>
      </c>
      <c r="E4" s="8">
        <f>E5+E32+E39</f>
        <v>71265803.469999999</v>
      </c>
      <c r="F4" s="8">
        <f t="shared" ref="F4:M4" si="0">F5+F32+F39</f>
        <v>2665824</v>
      </c>
      <c r="G4" s="8">
        <f t="shared" si="0"/>
        <v>66704662.879999995</v>
      </c>
      <c r="H4" s="8">
        <f t="shared" si="0"/>
        <v>15718380</v>
      </c>
      <c r="I4" s="8">
        <f t="shared" si="0"/>
        <v>10887985.850000001</v>
      </c>
      <c r="J4" s="8">
        <f t="shared" si="0"/>
        <v>22577560.300000001</v>
      </c>
      <c r="K4" s="8">
        <f t="shared" si="0"/>
        <v>7840958.5799999991</v>
      </c>
      <c r="L4" s="8">
        <f t="shared" si="0"/>
        <v>51058457.270000003</v>
      </c>
      <c r="M4" s="8">
        <f t="shared" si="0"/>
        <v>13578571.48</v>
      </c>
      <c r="N4" s="8">
        <f t="shared" ref="N4:N67" si="1">SUM(E4:M4)</f>
        <v>262298203.83000001</v>
      </c>
      <c r="O4" s="7"/>
    </row>
    <row r="5" spans="1:15">
      <c r="A5" s="5" t="s">
        <v>21</v>
      </c>
      <c r="B5" s="6" t="s">
        <v>22</v>
      </c>
      <c r="C5" s="6"/>
      <c r="D5" s="7" t="s">
        <v>20</v>
      </c>
      <c r="E5" s="8">
        <f>E6+E9+E13+E16+E21+E26+E28+E30+E31</f>
        <v>55392298.850000001</v>
      </c>
      <c r="F5" s="8">
        <f t="shared" ref="F5:M5" si="2">F6+F9+F13+F16+F21+F26+F28+F30+F31</f>
        <v>2276448</v>
      </c>
      <c r="G5" s="8">
        <f t="shared" si="2"/>
        <v>53344769.149999999</v>
      </c>
      <c r="H5" s="8">
        <f t="shared" si="2"/>
        <v>13313200</v>
      </c>
      <c r="I5" s="8">
        <f t="shared" si="2"/>
        <v>9387681.7100000009</v>
      </c>
      <c r="J5" s="8">
        <f t="shared" si="2"/>
        <v>19659976</v>
      </c>
      <c r="K5" s="8">
        <f t="shared" si="2"/>
        <v>5777561.1499999994</v>
      </c>
      <c r="L5" s="8">
        <f t="shared" si="2"/>
        <v>42692568.560000002</v>
      </c>
      <c r="M5" s="8">
        <f t="shared" si="2"/>
        <v>11414551.440000001</v>
      </c>
      <c r="N5" s="8">
        <f t="shared" si="1"/>
        <v>213259054.86000001</v>
      </c>
      <c r="O5" s="7"/>
    </row>
    <row r="6" spans="1:15">
      <c r="A6" s="5" t="s">
        <v>23</v>
      </c>
      <c r="B6" s="6" t="s">
        <v>24</v>
      </c>
      <c r="C6" s="6"/>
      <c r="D6" s="7" t="s">
        <v>20</v>
      </c>
      <c r="E6" s="8">
        <f>E7+E8</f>
        <v>8545944</v>
      </c>
      <c r="F6" s="8">
        <f t="shared" ref="F6:M6" si="3">F7+F8</f>
        <v>416304</v>
      </c>
      <c r="G6" s="8">
        <f t="shared" si="3"/>
        <v>8495064</v>
      </c>
      <c r="H6" s="8">
        <f t="shared" si="3"/>
        <v>2053872</v>
      </c>
      <c r="I6" s="8">
        <f t="shared" si="3"/>
        <v>1700904</v>
      </c>
      <c r="J6" s="8">
        <f t="shared" si="3"/>
        <v>3324480</v>
      </c>
      <c r="K6" s="8">
        <f t="shared" si="3"/>
        <v>915456</v>
      </c>
      <c r="L6" s="8">
        <f t="shared" si="3"/>
        <v>7113012</v>
      </c>
      <c r="M6" s="8">
        <f t="shared" si="3"/>
        <v>1825464</v>
      </c>
      <c r="N6" s="8">
        <f t="shared" si="1"/>
        <v>34390500</v>
      </c>
      <c r="O6" s="7"/>
    </row>
    <row r="7" spans="1:15" ht="22.5">
      <c r="A7" s="5" t="s">
        <v>25</v>
      </c>
      <c r="B7" s="6" t="s">
        <v>26</v>
      </c>
      <c r="C7" s="6" t="s">
        <v>27</v>
      </c>
      <c r="D7" s="7" t="s">
        <v>28</v>
      </c>
      <c r="E7" s="9">
        <v>4683804</v>
      </c>
      <c r="F7" s="9">
        <v>187584</v>
      </c>
      <c r="G7" s="9">
        <v>4479420</v>
      </c>
      <c r="H7" s="9">
        <v>1206816</v>
      </c>
      <c r="I7" s="9">
        <v>869928</v>
      </c>
      <c r="J7" s="9">
        <v>1860960</v>
      </c>
      <c r="K7" s="9">
        <v>553428</v>
      </c>
      <c r="L7" s="9">
        <v>3498096</v>
      </c>
      <c r="M7" s="9">
        <v>1061508</v>
      </c>
      <c r="N7" s="8">
        <f t="shared" si="1"/>
        <v>18401544</v>
      </c>
      <c r="O7" s="10"/>
    </row>
    <row r="8" spans="1:15" ht="22.5">
      <c r="A8" s="5" t="s">
        <v>29</v>
      </c>
      <c r="B8" s="6" t="s">
        <v>30</v>
      </c>
      <c r="C8" s="6" t="s">
        <v>27</v>
      </c>
      <c r="D8" s="7" t="s">
        <v>28</v>
      </c>
      <c r="E8" s="9">
        <v>3862140</v>
      </c>
      <c r="F8" s="9">
        <v>228720</v>
      </c>
      <c r="G8" s="9">
        <v>4015644</v>
      </c>
      <c r="H8" s="9">
        <v>847056</v>
      </c>
      <c r="I8" s="9">
        <v>830976</v>
      </c>
      <c r="J8" s="9">
        <v>1463520</v>
      </c>
      <c r="K8" s="9">
        <v>362028</v>
      </c>
      <c r="L8" s="9">
        <v>3614916</v>
      </c>
      <c r="M8" s="9">
        <v>763956</v>
      </c>
      <c r="N8" s="8">
        <f t="shared" si="1"/>
        <v>15988956</v>
      </c>
      <c r="O8" s="7"/>
    </row>
    <row r="9" spans="1:15">
      <c r="A9" s="5" t="s">
        <v>31</v>
      </c>
      <c r="B9" s="6" t="s">
        <v>32</v>
      </c>
      <c r="C9" s="6"/>
      <c r="D9" s="7" t="s">
        <v>20</v>
      </c>
      <c r="E9" s="8">
        <f>E10+E11</f>
        <v>793392</v>
      </c>
      <c r="F9" s="8">
        <f t="shared" ref="F9:M9" si="4">F10+F11</f>
        <v>32244</v>
      </c>
      <c r="G9" s="8">
        <f t="shared" si="4"/>
        <v>772308</v>
      </c>
      <c r="H9" s="8">
        <f t="shared" si="4"/>
        <v>236448</v>
      </c>
      <c r="I9" s="8">
        <f t="shared" si="4"/>
        <v>155592</v>
      </c>
      <c r="J9" s="8">
        <f t="shared" si="4"/>
        <v>326916</v>
      </c>
      <c r="K9" s="8">
        <f t="shared" si="4"/>
        <v>101508</v>
      </c>
      <c r="L9" s="8">
        <f t="shared" si="4"/>
        <v>613248</v>
      </c>
      <c r="M9" s="8">
        <f t="shared" si="4"/>
        <v>192756</v>
      </c>
      <c r="N9" s="8">
        <f t="shared" si="1"/>
        <v>3224412</v>
      </c>
      <c r="O9" s="7"/>
    </row>
    <row r="10" spans="1:15" ht="22.5">
      <c r="A10" s="5" t="s">
        <v>33</v>
      </c>
      <c r="B10" s="6" t="s">
        <v>34</v>
      </c>
      <c r="C10" s="6" t="s">
        <v>27</v>
      </c>
      <c r="D10" s="7" t="s">
        <v>28</v>
      </c>
      <c r="E10" s="9">
        <v>11952</v>
      </c>
      <c r="F10" s="9">
        <v>564</v>
      </c>
      <c r="G10" s="9">
        <v>11988</v>
      </c>
      <c r="H10" s="9">
        <v>14688</v>
      </c>
      <c r="I10" s="9">
        <v>2472</v>
      </c>
      <c r="J10" s="9">
        <v>4836</v>
      </c>
      <c r="K10" s="9">
        <v>1188</v>
      </c>
      <c r="L10" s="9">
        <v>11328</v>
      </c>
      <c r="M10" s="9">
        <v>2676</v>
      </c>
      <c r="N10" s="8">
        <f t="shared" si="1"/>
        <v>61692</v>
      </c>
      <c r="O10" s="7"/>
    </row>
    <row r="11" spans="1:15">
      <c r="A11" s="5" t="s">
        <v>35</v>
      </c>
      <c r="B11" s="6" t="s">
        <v>36</v>
      </c>
      <c r="C11" s="6"/>
      <c r="D11" s="7" t="s">
        <v>20</v>
      </c>
      <c r="E11" s="8">
        <f>E12</f>
        <v>781440</v>
      </c>
      <c r="F11" s="8">
        <f t="shared" ref="F11:M11" si="5">F12</f>
        <v>31680</v>
      </c>
      <c r="G11" s="8">
        <f t="shared" si="5"/>
        <v>760320</v>
      </c>
      <c r="H11" s="8">
        <f t="shared" si="5"/>
        <v>221760</v>
      </c>
      <c r="I11" s="8">
        <f t="shared" si="5"/>
        <v>153120</v>
      </c>
      <c r="J11" s="8">
        <f t="shared" si="5"/>
        <v>322080</v>
      </c>
      <c r="K11" s="8">
        <f t="shared" si="5"/>
        <v>100320</v>
      </c>
      <c r="L11" s="8">
        <f t="shared" si="5"/>
        <v>601920</v>
      </c>
      <c r="M11" s="8">
        <f t="shared" si="5"/>
        <v>190080</v>
      </c>
      <c r="N11" s="8">
        <f t="shared" si="1"/>
        <v>3162720</v>
      </c>
      <c r="O11" s="7"/>
    </row>
    <row r="12" spans="1:15">
      <c r="A12" s="5" t="s">
        <v>37</v>
      </c>
      <c r="B12" s="6" t="s">
        <v>266</v>
      </c>
      <c r="C12" s="6" t="s">
        <v>27</v>
      </c>
      <c r="D12" s="7" t="s">
        <v>20</v>
      </c>
      <c r="E12" s="8">
        <f>440*12*E62</f>
        <v>781440</v>
      </c>
      <c r="F12" s="8">
        <f t="shared" ref="F12:M12" si="6">440*12*F62</f>
        <v>31680</v>
      </c>
      <c r="G12" s="8">
        <f t="shared" si="6"/>
        <v>760320</v>
      </c>
      <c r="H12" s="8">
        <f t="shared" si="6"/>
        <v>221760</v>
      </c>
      <c r="I12" s="8">
        <f t="shared" si="6"/>
        <v>153120</v>
      </c>
      <c r="J12" s="8">
        <f t="shared" si="6"/>
        <v>322080</v>
      </c>
      <c r="K12" s="8">
        <f t="shared" si="6"/>
        <v>100320</v>
      </c>
      <c r="L12" s="8">
        <f t="shared" si="6"/>
        <v>601920</v>
      </c>
      <c r="M12" s="8">
        <f t="shared" si="6"/>
        <v>190080</v>
      </c>
      <c r="N12" s="8">
        <f t="shared" si="1"/>
        <v>3162720</v>
      </c>
      <c r="O12" s="7"/>
    </row>
    <row r="13" spans="1:15" ht="33.75">
      <c r="A13" s="5" t="s">
        <v>38</v>
      </c>
      <c r="B13" s="6" t="s">
        <v>39</v>
      </c>
      <c r="C13" s="6"/>
      <c r="D13" s="7" t="s">
        <v>40</v>
      </c>
      <c r="E13" s="8">
        <f>E14+E15</f>
        <v>378670.28</v>
      </c>
      <c r="F13" s="8">
        <f t="shared" ref="F13:M13" si="7">F14+F15</f>
        <v>15420</v>
      </c>
      <c r="G13" s="8">
        <f t="shared" si="7"/>
        <v>360457.72</v>
      </c>
      <c r="H13" s="8">
        <f t="shared" si="7"/>
        <v>92664</v>
      </c>
      <c r="I13" s="8">
        <f t="shared" si="7"/>
        <v>64388.58</v>
      </c>
      <c r="J13" s="8">
        <f t="shared" si="7"/>
        <v>136524</v>
      </c>
      <c r="K13" s="8">
        <f t="shared" si="7"/>
        <v>38857.72</v>
      </c>
      <c r="L13" s="8">
        <f t="shared" si="7"/>
        <v>291606.86</v>
      </c>
      <c r="M13" s="8">
        <f t="shared" si="7"/>
        <v>78785.14</v>
      </c>
      <c r="N13" s="8">
        <f t="shared" si="1"/>
        <v>1457374.3</v>
      </c>
      <c r="O13" s="7"/>
    </row>
    <row r="14" spans="1:15" ht="22.5">
      <c r="A14" s="5" t="s">
        <v>41</v>
      </c>
      <c r="B14" s="6" t="s">
        <v>267</v>
      </c>
      <c r="C14" s="6" t="s">
        <v>27</v>
      </c>
      <c r="D14" s="7" t="s">
        <v>42</v>
      </c>
      <c r="E14" s="8">
        <f>ROUND(E30/0.07*0.005,2)</f>
        <v>189335.14</v>
      </c>
      <c r="F14" s="8">
        <f t="shared" ref="F14:M14" si="8">ROUND(F30/0.07*0.005,2)</f>
        <v>7710</v>
      </c>
      <c r="G14" s="8">
        <f t="shared" si="8"/>
        <v>180228.86</v>
      </c>
      <c r="H14" s="8">
        <f t="shared" si="8"/>
        <v>46332</v>
      </c>
      <c r="I14" s="8">
        <f t="shared" si="8"/>
        <v>32194.29</v>
      </c>
      <c r="J14" s="8">
        <f t="shared" si="8"/>
        <v>68262</v>
      </c>
      <c r="K14" s="8">
        <f t="shared" si="8"/>
        <v>19428.86</v>
      </c>
      <c r="L14" s="8">
        <f t="shared" si="8"/>
        <v>145803.43</v>
      </c>
      <c r="M14" s="8">
        <f t="shared" si="8"/>
        <v>39392.57</v>
      </c>
      <c r="N14" s="8">
        <f t="shared" si="1"/>
        <v>728687.15</v>
      </c>
      <c r="O14" s="7"/>
    </row>
    <row r="15" spans="1:15" ht="22.5">
      <c r="A15" s="5" t="s">
        <v>43</v>
      </c>
      <c r="B15" s="6" t="s">
        <v>268</v>
      </c>
      <c r="C15" s="6" t="s">
        <v>27</v>
      </c>
      <c r="D15" s="7" t="s">
        <v>42</v>
      </c>
      <c r="E15" s="8">
        <f>ROUND(E30/0.07*0.005,2)</f>
        <v>189335.14</v>
      </c>
      <c r="F15" s="8">
        <f t="shared" ref="F15:M15" si="9">ROUND(F30/0.07*0.005,2)</f>
        <v>7710</v>
      </c>
      <c r="G15" s="8">
        <f t="shared" si="9"/>
        <v>180228.86</v>
      </c>
      <c r="H15" s="8">
        <f t="shared" si="9"/>
        <v>46332</v>
      </c>
      <c r="I15" s="8">
        <f t="shared" si="9"/>
        <v>32194.29</v>
      </c>
      <c r="J15" s="8">
        <f t="shared" si="9"/>
        <v>68262</v>
      </c>
      <c r="K15" s="8">
        <f t="shared" si="9"/>
        <v>19428.86</v>
      </c>
      <c r="L15" s="8">
        <f t="shared" si="9"/>
        <v>145803.43</v>
      </c>
      <c r="M15" s="8">
        <f t="shared" si="9"/>
        <v>39392.57</v>
      </c>
      <c r="N15" s="8">
        <f t="shared" si="1"/>
        <v>728687.15</v>
      </c>
      <c r="O15" s="7"/>
    </row>
    <row r="16" spans="1:15">
      <c r="A16" s="5" t="s">
        <v>44</v>
      </c>
      <c r="B16" s="6" t="s">
        <v>45</v>
      </c>
      <c r="C16" s="6"/>
      <c r="D16" s="7" t="s">
        <v>20</v>
      </c>
      <c r="E16" s="8">
        <f>E17+E18+E19+E20</f>
        <v>29012800</v>
      </c>
      <c r="F16" s="8">
        <f t="shared" ref="F16:L16" si="10">F17+F18+F19+F20</f>
        <v>1134000</v>
      </c>
      <c r="G16" s="8">
        <f t="shared" si="10"/>
        <v>27856800</v>
      </c>
      <c r="H16" s="8">
        <f t="shared" si="10"/>
        <v>6853000</v>
      </c>
      <c r="I16" s="8">
        <f t="shared" si="10"/>
        <v>4633700</v>
      </c>
      <c r="J16" s="8">
        <f t="shared" si="10"/>
        <v>9865000</v>
      </c>
      <c r="K16" s="8">
        <f t="shared" si="10"/>
        <v>3012000</v>
      </c>
      <c r="L16" s="8">
        <f t="shared" si="10"/>
        <v>21844000</v>
      </c>
      <c r="M16" s="8">
        <f>M17+M18+M19+M20</f>
        <v>5851000</v>
      </c>
      <c r="N16" s="8">
        <f t="shared" si="1"/>
        <v>110062300</v>
      </c>
      <c r="O16" s="7"/>
    </row>
    <row r="17" spans="1:15" ht="22.5">
      <c r="A17" s="5" t="s">
        <v>46</v>
      </c>
      <c r="B17" s="6" t="s">
        <v>47</v>
      </c>
      <c r="C17" s="6" t="s">
        <v>27</v>
      </c>
      <c r="D17" s="7" t="s">
        <v>269</v>
      </c>
      <c r="E17" s="9">
        <v>26644800</v>
      </c>
      <c r="F17" s="9">
        <v>1098000</v>
      </c>
      <c r="G17" s="9">
        <v>25552800</v>
      </c>
      <c r="H17" s="9">
        <v>6601000</v>
      </c>
      <c r="I17" s="9">
        <v>4459700</v>
      </c>
      <c r="J17" s="9">
        <v>9499000</v>
      </c>
      <c r="K17" s="9">
        <v>2898000</v>
      </c>
      <c r="L17" s="9">
        <v>20020000</v>
      </c>
      <c r="M17" s="9">
        <v>5635000</v>
      </c>
      <c r="N17" s="8">
        <f t="shared" si="1"/>
        <v>102408300</v>
      </c>
      <c r="O17" s="7"/>
    </row>
    <row r="18" spans="1:15" ht="33.75">
      <c r="A18" s="5" t="s">
        <v>48</v>
      </c>
      <c r="B18" s="6" t="s">
        <v>49</v>
      </c>
      <c r="C18" s="6" t="s">
        <v>27</v>
      </c>
      <c r="D18" s="7" t="s">
        <v>50</v>
      </c>
      <c r="E18" s="9"/>
      <c r="F18" s="9"/>
      <c r="G18" s="9"/>
      <c r="H18" s="9"/>
      <c r="I18" s="9"/>
      <c r="J18" s="9"/>
      <c r="K18" s="9"/>
      <c r="L18" s="9"/>
      <c r="M18" s="9"/>
      <c r="N18" s="8">
        <f t="shared" si="1"/>
        <v>0</v>
      </c>
      <c r="O18" s="7"/>
    </row>
    <row r="19" spans="1:15">
      <c r="A19" s="5" t="s">
        <v>51</v>
      </c>
      <c r="B19" s="6" t="s">
        <v>270</v>
      </c>
      <c r="C19" s="6" t="s">
        <v>27</v>
      </c>
      <c r="D19" s="7" t="s">
        <v>20</v>
      </c>
      <c r="E19" s="8">
        <f>E62*500*12</f>
        <v>888000</v>
      </c>
      <c r="F19" s="8">
        <f t="shared" ref="F19:M19" si="11">F62*500*12</f>
        <v>36000</v>
      </c>
      <c r="G19" s="8">
        <f t="shared" si="11"/>
        <v>864000</v>
      </c>
      <c r="H19" s="8">
        <f t="shared" si="11"/>
        <v>252000</v>
      </c>
      <c r="I19" s="8">
        <f t="shared" si="11"/>
        <v>174000</v>
      </c>
      <c r="J19" s="8">
        <f t="shared" si="11"/>
        <v>366000</v>
      </c>
      <c r="K19" s="8">
        <f t="shared" si="11"/>
        <v>114000</v>
      </c>
      <c r="L19" s="8">
        <f t="shared" si="11"/>
        <v>684000</v>
      </c>
      <c r="M19" s="8">
        <f t="shared" si="11"/>
        <v>216000</v>
      </c>
      <c r="N19" s="8">
        <f t="shared" si="1"/>
        <v>3594000</v>
      </c>
      <c r="O19" s="7"/>
    </row>
    <row r="20" spans="1:15" ht="22.5">
      <c r="A20" s="5" t="s">
        <v>52</v>
      </c>
      <c r="B20" s="6" t="s">
        <v>271</v>
      </c>
      <c r="C20" s="6" t="s">
        <v>27</v>
      </c>
      <c r="D20" s="7" t="s">
        <v>28</v>
      </c>
      <c r="E20" s="9">
        <f>10000*E62</f>
        <v>1480000</v>
      </c>
      <c r="F20" s="9"/>
      <c r="G20" s="9">
        <f>10000*G62</f>
        <v>1440000</v>
      </c>
      <c r="H20" s="9"/>
      <c r="I20" s="9"/>
      <c r="J20" s="9"/>
      <c r="K20" s="9"/>
      <c r="L20" s="9">
        <f>10000*L62</f>
        <v>1140000</v>
      </c>
      <c r="M20" s="9"/>
      <c r="N20" s="8">
        <f t="shared" si="1"/>
        <v>4060000</v>
      </c>
      <c r="O20" s="7"/>
    </row>
    <row r="21" spans="1:15">
      <c r="A21" s="5" t="s">
        <v>53</v>
      </c>
      <c r="B21" s="6" t="s">
        <v>54</v>
      </c>
      <c r="C21" s="6"/>
      <c r="D21" s="7" t="s">
        <v>20</v>
      </c>
      <c r="E21" s="8">
        <f>E22+E23</f>
        <v>4922713.71</v>
      </c>
      <c r="F21" s="8">
        <f t="shared" ref="F21:M21" si="12">F22+F23</f>
        <v>200460</v>
      </c>
      <c r="G21" s="8">
        <f t="shared" si="12"/>
        <v>4685950.29</v>
      </c>
      <c r="H21" s="8">
        <f t="shared" si="12"/>
        <v>1204632</v>
      </c>
      <c r="I21" s="8">
        <f t="shared" si="12"/>
        <v>837051.42</v>
      </c>
      <c r="J21" s="8">
        <f t="shared" si="12"/>
        <v>1774812</v>
      </c>
      <c r="K21" s="8">
        <f t="shared" si="12"/>
        <v>505150.29</v>
      </c>
      <c r="L21" s="8">
        <f t="shared" si="12"/>
        <v>3790889.13</v>
      </c>
      <c r="M21" s="8">
        <f t="shared" si="12"/>
        <v>1024206.8700000001</v>
      </c>
      <c r="N21" s="8">
        <f t="shared" si="1"/>
        <v>18945865.710000001</v>
      </c>
      <c r="O21" s="7"/>
    </row>
    <row r="22" spans="1:15">
      <c r="A22" s="5" t="s">
        <v>55</v>
      </c>
      <c r="B22" s="6" t="s">
        <v>272</v>
      </c>
      <c r="C22" s="6" t="s">
        <v>56</v>
      </c>
      <c r="D22" s="7" t="s">
        <v>20</v>
      </c>
      <c r="E22" s="8">
        <f>ROUND(E30/0.07*0.09,2)</f>
        <v>3408032.57</v>
      </c>
      <c r="F22" s="8">
        <f t="shared" ref="F22:M22" si="13">ROUND(F30/0.07*0.09,2)</f>
        <v>138780</v>
      </c>
      <c r="G22" s="8">
        <f t="shared" si="13"/>
        <v>3244119.43</v>
      </c>
      <c r="H22" s="8">
        <f t="shared" si="13"/>
        <v>833976</v>
      </c>
      <c r="I22" s="8">
        <f t="shared" si="13"/>
        <v>579497.14</v>
      </c>
      <c r="J22" s="8">
        <f t="shared" si="13"/>
        <v>1228716</v>
      </c>
      <c r="K22" s="8">
        <f t="shared" si="13"/>
        <v>349719.43</v>
      </c>
      <c r="L22" s="8">
        <f t="shared" si="13"/>
        <v>2624461.71</v>
      </c>
      <c r="M22" s="8">
        <f t="shared" si="13"/>
        <v>709066.29</v>
      </c>
      <c r="N22" s="8">
        <f t="shared" si="1"/>
        <v>13116368.57</v>
      </c>
      <c r="O22" s="7"/>
    </row>
    <row r="23" spans="1:15" ht="22.5">
      <c r="A23" s="5" t="s">
        <v>57</v>
      </c>
      <c r="B23" s="6" t="s">
        <v>306</v>
      </c>
      <c r="C23" s="6" t="s">
        <v>56</v>
      </c>
      <c r="D23" s="7" t="s">
        <v>42</v>
      </c>
      <c r="E23" s="8">
        <f>E24+E25</f>
        <v>1514681.14</v>
      </c>
      <c r="F23" s="8">
        <f t="shared" ref="F23:M23" si="14">F24+F25</f>
        <v>61680</v>
      </c>
      <c r="G23" s="8">
        <f t="shared" si="14"/>
        <v>1441830.86</v>
      </c>
      <c r="H23" s="8">
        <f t="shared" si="14"/>
        <v>370656</v>
      </c>
      <c r="I23" s="8">
        <f t="shared" si="14"/>
        <v>257554.28</v>
      </c>
      <c r="J23" s="8">
        <f t="shared" si="14"/>
        <v>546096</v>
      </c>
      <c r="K23" s="8">
        <f t="shared" si="14"/>
        <v>155430.85999999999</v>
      </c>
      <c r="L23" s="8">
        <f t="shared" si="14"/>
        <v>1166427.42</v>
      </c>
      <c r="M23" s="8">
        <f t="shared" si="14"/>
        <v>315140.58</v>
      </c>
      <c r="N23" s="8">
        <f t="shared" si="1"/>
        <v>5829497.1399999997</v>
      </c>
      <c r="O23" s="7"/>
    </row>
    <row r="24" spans="1:15" ht="22.5">
      <c r="A24" s="5" t="s">
        <v>58</v>
      </c>
      <c r="B24" s="6" t="s">
        <v>307</v>
      </c>
      <c r="C24" s="6" t="s">
        <v>56</v>
      </c>
      <c r="D24" s="7" t="s">
        <v>42</v>
      </c>
      <c r="E24" s="8">
        <f>ROUND(E30/0.07*0.02,2)</f>
        <v>757340.57</v>
      </c>
      <c r="F24" s="8">
        <f t="shared" ref="F24:M24" si="15">ROUND(F30/0.07*0.02,2)</f>
        <v>30840</v>
      </c>
      <c r="G24" s="8">
        <f t="shared" si="15"/>
        <v>720915.43</v>
      </c>
      <c r="H24" s="8">
        <f t="shared" si="15"/>
        <v>185328</v>
      </c>
      <c r="I24" s="8">
        <f t="shared" si="15"/>
        <v>128777.14</v>
      </c>
      <c r="J24" s="8">
        <f t="shared" si="15"/>
        <v>273048</v>
      </c>
      <c r="K24" s="8">
        <f t="shared" si="15"/>
        <v>77715.429999999993</v>
      </c>
      <c r="L24" s="8">
        <f t="shared" si="15"/>
        <v>583213.71</v>
      </c>
      <c r="M24" s="8">
        <f t="shared" si="15"/>
        <v>157570.29</v>
      </c>
      <c r="N24" s="8">
        <f t="shared" si="1"/>
        <v>2914748.57</v>
      </c>
      <c r="O24" s="7"/>
    </row>
    <row r="25" spans="1:15" ht="22.5">
      <c r="A25" s="5" t="s">
        <v>59</v>
      </c>
      <c r="B25" s="6" t="s">
        <v>308</v>
      </c>
      <c r="C25" s="6" t="s">
        <v>56</v>
      </c>
      <c r="D25" s="7" t="s">
        <v>42</v>
      </c>
      <c r="E25" s="8">
        <f>ROUND(E30/0.07*0.02,2)</f>
        <v>757340.57</v>
      </c>
      <c r="F25" s="8">
        <f t="shared" ref="F25:M25" si="16">ROUND(F30/0.07*0.02,2)</f>
        <v>30840</v>
      </c>
      <c r="G25" s="8">
        <f t="shared" si="16"/>
        <v>720915.43</v>
      </c>
      <c r="H25" s="8">
        <f t="shared" si="16"/>
        <v>185328</v>
      </c>
      <c r="I25" s="8">
        <f t="shared" si="16"/>
        <v>128777.14</v>
      </c>
      <c r="J25" s="8">
        <f t="shared" si="16"/>
        <v>273048</v>
      </c>
      <c r="K25" s="8">
        <f t="shared" si="16"/>
        <v>77715.429999999993</v>
      </c>
      <c r="L25" s="8">
        <f t="shared" si="16"/>
        <v>583213.71</v>
      </c>
      <c r="M25" s="8">
        <f t="shared" si="16"/>
        <v>157570.29</v>
      </c>
      <c r="N25" s="8">
        <f t="shared" si="1"/>
        <v>2914748.57</v>
      </c>
      <c r="O25" s="7"/>
    </row>
    <row r="26" spans="1:15">
      <c r="A26" s="5" t="s">
        <v>60</v>
      </c>
      <c r="B26" s="6" t="s">
        <v>61</v>
      </c>
      <c r="C26" s="6"/>
      <c r="D26" s="7" t="s">
        <v>20</v>
      </c>
      <c r="E26" s="8">
        <f t="shared" ref="E26:M26" si="17">E27</f>
        <v>6058724.5700000003</v>
      </c>
      <c r="F26" s="8">
        <f t="shared" si="17"/>
        <v>246720</v>
      </c>
      <c r="G26" s="8">
        <f t="shared" si="17"/>
        <v>5767323.4299999997</v>
      </c>
      <c r="H26" s="8">
        <f t="shared" si="17"/>
        <v>1482624</v>
      </c>
      <c r="I26" s="8">
        <f t="shared" si="17"/>
        <v>1030217.14</v>
      </c>
      <c r="J26" s="8">
        <f t="shared" si="17"/>
        <v>2184384</v>
      </c>
      <c r="K26" s="8">
        <f t="shared" si="17"/>
        <v>621723.43000000005</v>
      </c>
      <c r="L26" s="8">
        <f t="shared" si="17"/>
        <v>4665709.71</v>
      </c>
      <c r="M26" s="8">
        <f t="shared" si="17"/>
        <v>1260562.29</v>
      </c>
      <c r="N26" s="8">
        <f t="shared" si="1"/>
        <v>23317988.57</v>
      </c>
      <c r="O26" s="7"/>
    </row>
    <row r="27" spans="1:15" ht="22.5">
      <c r="A27" s="5" t="s">
        <v>62</v>
      </c>
      <c r="B27" s="6" t="s">
        <v>309</v>
      </c>
      <c r="C27" s="6" t="s">
        <v>63</v>
      </c>
      <c r="D27" s="7" t="s">
        <v>42</v>
      </c>
      <c r="E27" s="8">
        <f>ROUND(E30/0.07*0.16,2)</f>
        <v>6058724.5700000003</v>
      </c>
      <c r="F27" s="8">
        <f t="shared" ref="F27:M27" si="18">ROUND(F30/0.07*0.16,2)</f>
        <v>246720</v>
      </c>
      <c r="G27" s="8">
        <f t="shared" si="18"/>
        <v>5767323.4299999997</v>
      </c>
      <c r="H27" s="8">
        <f t="shared" si="18"/>
        <v>1482624</v>
      </c>
      <c r="I27" s="8">
        <f t="shared" si="18"/>
        <v>1030217.14</v>
      </c>
      <c r="J27" s="8">
        <f t="shared" si="18"/>
        <v>2184384</v>
      </c>
      <c r="K27" s="8">
        <f t="shared" si="18"/>
        <v>621723.43000000005</v>
      </c>
      <c r="L27" s="8">
        <f t="shared" si="18"/>
        <v>4665709.71</v>
      </c>
      <c r="M27" s="8">
        <f t="shared" si="18"/>
        <v>1260562.29</v>
      </c>
      <c r="N27" s="8">
        <f t="shared" si="1"/>
        <v>23317988.57</v>
      </c>
      <c r="O27" s="7"/>
    </row>
    <row r="28" spans="1:15">
      <c r="A28" s="5" t="s">
        <v>64</v>
      </c>
      <c r="B28" s="6" t="s">
        <v>65</v>
      </c>
      <c r="C28" s="6"/>
      <c r="D28" s="7" t="s">
        <v>20</v>
      </c>
      <c r="E28" s="8">
        <f t="shared" ref="E28:M28" si="19">E29</f>
        <v>3029362.29</v>
      </c>
      <c r="F28" s="8">
        <f t="shared" si="19"/>
        <v>123360</v>
      </c>
      <c r="G28" s="8">
        <f t="shared" si="19"/>
        <v>2883661.71</v>
      </c>
      <c r="H28" s="8">
        <f t="shared" si="19"/>
        <v>741312</v>
      </c>
      <c r="I28" s="8">
        <f t="shared" si="19"/>
        <v>515108.57</v>
      </c>
      <c r="J28" s="8">
        <f t="shared" si="19"/>
        <v>1092192</v>
      </c>
      <c r="K28" s="8">
        <f t="shared" si="19"/>
        <v>310861.71000000002</v>
      </c>
      <c r="L28" s="8">
        <f t="shared" si="19"/>
        <v>2332854.86</v>
      </c>
      <c r="M28" s="8">
        <f t="shared" si="19"/>
        <v>630281.14</v>
      </c>
      <c r="N28" s="8">
        <f t="shared" si="1"/>
        <v>11658994.280000001</v>
      </c>
      <c r="O28" s="7"/>
    </row>
    <row r="29" spans="1:15" ht="22.5">
      <c r="A29" s="5" t="s">
        <v>66</v>
      </c>
      <c r="B29" s="6" t="s">
        <v>67</v>
      </c>
      <c r="C29" s="6" t="s">
        <v>68</v>
      </c>
      <c r="D29" s="7" t="s">
        <v>42</v>
      </c>
      <c r="E29" s="8">
        <f>ROUND(E30/0.07*0.08,2)</f>
        <v>3029362.29</v>
      </c>
      <c r="F29" s="8">
        <f t="shared" ref="F29:M29" si="20">ROUND(F30/0.07*0.08,2)</f>
        <v>123360</v>
      </c>
      <c r="G29" s="8">
        <f t="shared" si="20"/>
        <v>2883661.71</v>
      </c>
      <c r="H29" s="8">
        <f t="shared" si="20"/>
        <v>741312</v>
      </c>
      <c r="I29" s="8">
        <f t="shared" si="20"/>
        <v>515108.57</v>
      </c>
      <c r="J29" s="8">
        <f t="shared" si="20"/>
        <v>1092192</v>
      </c>
      <c r="K29" s="8">
        <f t="shared" si="20"/>
        <v>310861.71000000002</v>
      </c>
      <c r="L29" s="8">
        <f t="shared" si="20"/>
        <v>2332854.86</v>
      </c>
      <c r="M29" s="8">
        <f t="shared" si="20"/>
        <v>630281.14</v>
      </c>
      <c r="N29" s="8">
        <f t="shared" si="1"/>
        <v>11658994.280000001</v>
      </c>
      <c r="O29" s="7"/>
    </row>
    <row r="30" spans="1:15" ht="22.5">
      <c r="A30" s="5" t="s">
        <v>69</v>
      </c>
      <c r="B30" s="6" t="s">
        <v>310</v>
      </c>
      <c r="C30" s="6" t="s">
        <v>70</v>
      </c>
      <c r="D30" s="7" t="s">
        <v>278</v>
      </c>
      <c r="E30" s="9">
        <v>2650692</v>
      </c>
      <c r="F30" s="9">
        <v>107940</v>
      </c>
      <c r="G30" s="9">
        <v>2523204</v>
      </c>
      <c r="H30" s="9">
        <v>648648</v>
      </c>
      <c r="I30" s="9">
        <v>450720</v>
      </c>
      <c r="J30" s="9">
        <v>955668</v>
      </c>
      <c r="K30" s="9">
        <v>272004</v>
      </c>
      <c r="L30" s="9">
        <v>2041248</v>
      </c>
      <c r="M30" s="9">
        <v>551496</v>
      </c>
      <c r="N30" s="8">
        <f t="shared" si="1"/>
        <v>10201620</v>
      </c>
      <c r="O30" s="7"/>
    </row>
    <row r="31" spans="1:15">
      <c r="A31" s="5" t="s">
        <v>71</v>
      </c>
      <c r="B31" s="6" t="s">
        <v>279</v>
      </c>
      <c r="C31" s="6" t="s">
        <v>27</v>
      </c>
      <c r="D31" s="7" t="s">
        <v>280</v>
      </c>
      <c r="E31" s="9"/>
      <c r="F31" s="9"/>
      <c r="G31" s="9"/>
      <c r="H31" s="9"/>
      <c r="I31" s="9"/>
      <c r="J31" s="9"/>
      <c r="K31" s="9"/>
      <c r="L31" s="9"/>
      <c r="M31" s="9"/>
      <c r="N31" s="8">
        <f t="shared" si="1"/>
        <v>0</v>
      </c>
      <c r="O31" s="7"/>
    </row>
    <row r="32" spans="1:15">
      <c r="A32" s="5" t="s">
        <v>72</v>
      </c>
      <c r="B32" s="6" t="s">
        <v>73</v>
      </c>
      <c r="C32" s="6"/>
      <c r="D32" s="7" t="s">
        <v>20</v>
      </c>
      <c r="E32" s="8">
        <f>E33+E35+E37</f>
        <v>3184260</v>
      </c>
      <c r="F32" s="8">
        <f t="shared" ref="F32:M32" si="21">F33+F35+F37</f>
        <v>61680</v>
      </c>
      <c r="G32" s="8">
        <f t="shared" si="21"/>
        <v>2311620</v>
      </c>
      <c r="H32" s="8">
        <f t="shared" si="21"/>
        <v>44640</v>
      </c>
      <c r="I32" s="8">
        <f t="shared" si="21"/>
        <v>184440</v>
      </c>
      <c r="J32" s="8">
        <f t="shared" si="21"/>
        <v>257940</v>
      </c>
      <c r="K32" s="8">
        <f t="shared" si="21"/>
        <v>360</v>
      </c>
      <c r="L32" s="8">
        <f t="shared" si="21"/>
        <v>1558920</v>
      </c>
      <c r="M32" s="8">
        <f t="shared" si="21"/>
        <v>259620</v>
      </c>
      <c r="N32" s="8">
        <f t="shared" si="1"/>
        <v>7863480</v>
      </c>
      <c r="O32" s="7"/>
    </row>
    <row r="33" spans="1:15" ht="33.75">
      <c r="A33" s="5" t="s">
        <v>74</v>
      </c>
      <c r="B33" s="6" t="s">
        <v>281</v>
      </c>
      <c r="C33" s="6" t="s">
        <v>75</v>
      </c>
      <c r="D33" s="7" t="s">
        <v>282</v>
      </c>
      <c r="E33" s="8">
        <f>E34</f>
        <v>3181020</v>
      </c>
      <c r="F33" s="8">
        <f t="shared" ref="F33:M33" si="22">F34</f>
        <v>61680</v>
      </c>
      <c r="G33" s="8">
        <f t="shared" si="22"/>
        <v>2308380</v>
      </c>
      <c r="H33" s="8">
        <f t="shared" si="22"/>
        <v>43200</v>
      </c>
      <c r="I33" s="8">
        <f t="shared" si="22"/>
        <v>184440</v>
      </c>
      <c r="J33" s="8">
        <f t="shared" si="22"/>
        <v>255420</v>
      </c>
      <c r="K33" s="8">
        <f t="shared" si="22"/>
        <v>0</v>
      </c>
      <c r="L33" s="8">
        <f t="shared" si="22"/>
        <v>1554600</v>
      </c>
      <c r="M33" s="8">
        <f t="shared" si="22"/>
        <v>256380</v>
      </c>
      <c r="N33" s="8">
        <f t="shared" si="1"/>
        <v>7845120</v>
      </c>
      <c r="O33" s="7"/>
    </row>
    <row r="34" spans="1:15" ht="33.75">
      <c r="A34" s="5" t="s">
        <v>76</v>
      </c>
      <c r="B34" s="6" t="s">
        <v>311</v>
      </c>
      <c r="C34" s="6" t="s">
        <v>75</v>
      </c>
      <c r="D34" s="7" t="s">
        <v>282</v>
      </c>
      <c r="E34" s="9">
        <v>3181020</v>
      </c>
      <c r="F34" s="9">
        <v>61680</v>
      </c>
      <c r="G34" s="9">
        <v>2308380</v>
      </c>
      <c r="H34" s="9">
        <v>43200</v>
      </c>
      <c r="I34" s="9">
        <v>184440</v>
      </c>
      <c r="J34" s="9">
        <v>255420</v>
      </c>
      <c r="K34" s="9"/>
      <c r="L34" s="9">
        <v>1554600</v>
      </c>
      <c r="M34" s="9">
        <v>256380</v>
      </c>
      <c r="N34" s="8">
        <f t="shared" si="1"/>
        <v>7845120</v>
      </c>
      <c r="O34" s="7"/>
    </row>
    <row r="35" spans="1:15">
      <c r="A35" s="5" t="s">
        <v>77</v>
      </c>
      <c r="B35" s="6" t="s">
        <v>78</v>
      </c>
      <c r="C35" s="6"/>
      <c r="D35" s="7" t="s">
        <v>20</v>
      </c>
      <c r="E35" s="8">
        <f>E36</f>
        <v>3240</v>
      </c>
      <c r="F35" s="8">
        <f t="shared" ref="F35:M35" si="23">F36</f>
        <v>0</v>
      </c>
      <c r="G35" s="8">
        <f t="shared" si="23"/>
        <v>3240</v>
      </c>
      <c r="H35" s="8">
        <f t="shared" si="23"/>
        <v>1440</v>
      </c>
      <c r="I35" s="8">
        <f t="shared" si="23"/>
        <v>0</v>
      </c>
      <c r="J35" s="8">
        <f t="shared" si="23"/>
        <v>2520</v>
      </c>
      <c r="K35" s="8">
        <f t="shared" si="23"/>
        <v>360</v>
      </c>
      <c r="L35" s="8">
        <f t="shared" si="23"/>
        <v>4320</v>
      </c>
      <c r="M35" s="8">
        <f t="shared" si="23"/>
        <v>3240</v>
      </c>
      <c r="N35" s="8">
        <f t="shared" si="1"/>
        <v>18360</v>
      </c>
      <c r="O35" s="7"/>
    </row>
    <row r="36" spans="1:15" ht="22.5">
      <c r="A36" s="5" t="s">
        <v>79</v>
      </c>
      <c r="B36" s="6" t="s">
        <v>80</v>
      </c>
      <c r="C36" s="6" t="s">
        <v>27</v>
      </c>
      <c r="D36" s="7" t="s">
        <v>28</v>
      </c>
      <c r="E36" s="9">
        <v>3240</v>
      </c>
      <c r="F36" s="9"/>
      <c r="G36" s="9">
        <v>3240</v>
      </c>
      <c r="H36" s="9">
        <v>1440</v>
      </c>
      <c r="I36" s="9"/>
      <c r="J36" s="9">
        <v>2520</v>
      </c>
      <c r="K36" s="9">
        <v>360</v>
      </c>
      <c r="L36" s="9">
        <v>4320</v>
      </c>
      <c r="M36" s="9">
        <v>3240</v>
      </c>
      <c r="N36" s="8">
        <f t="shared" si="1"/>
        <v>18360</v>
      </c>
      <c r="O36" s="7"/>
    </row>
    <row r="37" spans="1:15">
      <c r="A37" s="5" t="s">
        <v>81</v>
      </c>
      <c r="B37" s="6" t="s">
        <v>82</v>
      </c>
      <c r="C37" s="6"/>
      <c r="D37" s="7" t="s">
        <v>20</v>
      </c>
      <c r="E37" s="8">
        <f>E38</f>
        <v>0</v>
      </c>
      <c r="F37" s="8">
        <f t="shared" ref="F37:M37" si="24">F38</f>
        <v>0</v>
      </c>
      <c r="G37" s="8">
        <f t="shared" si="24"/>
        <v>0</v>
      </c>
      <c r="H37" s="8">
        <f t="shared" si="24"/>
        <v>0</v>
      </c>
      <c r="I37" s="8">
        <f t="shared" si="24"/>
        <v>0</v>
      </c>
      <c r="J37" s="8">
        <f t="shared" si="24"/>
        <v>0</v>
      </c>
      <c r="K37" s="8">
        <f t="shared" si="24"/>
        <v>0</v>
      </c>
      <c r="L37" s="8">
        <f t="shared" si="24"/>
        <v>0</v>
      </c>
      <c r="M37" s="8">
        <f t="shared" si="24"/>
        <v>0</v>
      </c>
      <c r="N37" s="8">
        <f t="shared" si="1"/>
        <v>0</v>
      </c>
      <c r="O37" s="7"/>
    </row>
    <row r="38" spans="1:15" ht="56.25">
      <c r="A38" s="5" t="s">
        <v>83</v>
      </c>
      <c r="B38" s="6" t="s">
        <v>284</v>
      </c>
      <c r="C38" s="6" t="s">
        <v>27</v>
      </c>
      <c r="D38" s="7" t="s">
        <v>84</v>
      </c>
      <c r="E38" s="9"/>
      <c r="F38" s="9"/>
      <c r="G38" s="9"/>
      <c r="H38" s="9"/>
      <c r="I38" s="9"/>
      <c r="J38" s="9"/>
      <c r="K38" s="9"/>
      <c r="L38" s="9"/>
      <c r="M38" s="9"/>
      <c r="N38" s="8">
        <f t="shared" si="1"/>
        <v>0</v>
      </c>
      <c r="O38" s="7"/>
    </row>
    <row r="39" spans="1:15">
      <c r="A39" s="5" t="s">
        <v>85</v>
      </c>
      <c r="B39" s="6" t="s">
        <v>86</v>
      </c>
      <c r="C39" s="6"/>
      <c r="D39" s="7" t="s">
        <v>20</v>
      </c>
      <c r="E39" s="8">
        <f>E40+E42+E44+E46+E48+E51+E53+E55+E59</f>
        <v>12689244.620000001</v>
      </c>
      <c r="F39" s="8">
        <f t="shared" ref="F39:M39" si="25">F40+F42+F44+F46+F48+F51+F53+F55+F59</f>
        <v>327696</v>
      </c>
      <c r="G39" s="8">
        <f t="shared" si="25"/>
        <v>11048273.73</v>
      </c>
      <c r="H39" s="8">
        <f t="shared" si="25"/>
        <v>2360540</v>
      </c>
      <c r="I39" s="8">
        <f t="shared" si="25"/>
        <v>1315864.1399999999</v>
      </c>
      <c r="J39" s="8">
        <f t="shared" si="25"/>
        <v>2659644.2999999998</v>
      </c>
      <c r="K39" s="8">
        <f t="shared" si="25"/>
        <v>2063037.43</v>
      </c>
      <c r="L39" s="8">
        <f t="shared" si="25"/>
        <v>6806968.71</v>
      </c>
      <c r="M39" s="8">
        <f t="shared" si="25"/>
        <v>1904400.04</v>
      </c>
      <c r="N39" s="8">
        <f t="shared" si="1"/>
        <v>41175668.969999999</v>
      </c>
      <c r="O39" s="7"/>
    </row>
    <row r="40" spans="1:15" ht="22.5">
      <c r="A40" s="5" t="s">
        <v>87</v>
      </c>
      <c r="B40" s="6" t="s">
        <v>88</v>
      </c>
      <c r="C40" s="6"/>
      <c r="D40" s="7" t="s">
        <v>89</v>
      </c>
      <c r="E40" s="9">
        <v>9967420</v>
      </c>
      <c r="F40" s="9">
        <v>134400</v>
      </c>
      <c r="G40" s="9">
        <v>8460650</v>
      </c>
      <c r="H40" s="9">
        <v>1716000</v>
      </c>
      <c r="I40" s="9">
        <v>878020</v>
      </c>
      <c r="J40" s="9">
        <v>1841840</v>
      </c>
      <c r="K40" s="9">
        <v>1716000</v>
      </c>
      <c r="L40" s="9">
        <v>5000410</v>
      </c>
      <c r="M40" s="9">
        <v>1338480</v>
      </c>
      <c r="N40" s="8">
        <f t="shared" si="1"/>
        <v>31053220</v>
      </c>
      <c r="O40" s="7"/>
    </row>
    <row r="41" spans="1:15">
      <c r="A41" s="5" t="s">
        <v>90</v>
      </c>
      <c r="B41" s="6" t="s">
        <v>285</v>
      </c>
      <c r="C41" s="6" t="s">
        <v>312</v>
      </c>
      <c r="D41" s="11" t="s">
        <v>313</v>
      </c>
      <c r="E41" s="9">
        <v>498371</v>
      </c>
      <c r="F41" s="9">
        <v>6720</v>
      </c>
      <c r="G41" s="9">
        <v>423032.5</v>
      </c>
      <c r="H41" s="9">
        <v>66209</v>
      </c>
      <c r="I41" s="9">
        <v>43901</v>
      </c>
      <c r="J41" s="9">
        <v>92092</v>
      </c>
      <c r="K41" s="9">
        <v>44616</v>
      </c>
      <c r="L41" s="9">
        <v>250020.5</v>
      </c>
      <c r="M41" s="9">
        <v>59059</v>
      </c>
      <c r="N41" s="8">
        <f t="shared" si="1"/>
        <v>1484021</v>
      </c>
      <c r="O41" s="7"/>
    </row>
    <row r="42" spans="1:15">
      <c r="A42" s="5" t="s">
        <v>91</v>
      </c>
      <c r="B42" s="6" t="s">
        <v>92</v>
      </c>
      <c r="C42" s="6"/>
      <c r="D42" s="7"/>
      <c r="E42" s="8">
        <f>E43</f>
        <v>59200</v>
      </c>
      <c r="F42" s="8">
        <f t="shared" ref="F42:M42" si="26">F43</f>
        <v>2400</v>
      </c>
      <c r="G42" s="8">
        <f t="shared" si="26"/>
        <v>57600</v>
      </c>
      <c r="H42" s="8">
        <f t="shared" si="26"/>
        <v>16800</v>
      </c>
      <c r="I42" s="8">
        <f t="shared" si="26"/>
        <v>11600</v>
      </c>
      <c r="J42" s="8">
        <f t="shared" si="26"/>
        <v>24400</v>
      </c>
      <c r="K42" s="8">
        <f t="shared" si="26"/>
        <v>7600</v>
      </c>
      <c r="L42" s="8">
        <f t="shared" si="26"/>
        <v>45600</v>
      </c>
      <c r="M42" s="8">
        <f t="shared" si="26"/>
        <v>14400</v>
      </c>
      <c r="N42" s="8">
        <f t="shared" si="1"/>
        <v>239600</v>
      </c>
      <c r="O42" s="7"/>
    </row>
    <row r="43" spans="1:15" ht="33.75">
      <c r="A43" s="5" t="s">
        <v>93</v>
      </c>
      <c r="B43" s="6" t="s">
        <v>94</v>
      </c>
      <c r="C43" s="6" t="s">
        <v>27</v>
      </c>
      <c r="D43" s="11" t="s">
        <v>95</v>
      </c>
      <c r="E43" s="8">
        <f>E62*400</f>
        <v>59200</v>
      </c>
      <c r="F43" s="8">
        <f t="shared" ref="F43:M43" si="27">F62*400</f>
        <v>2400</v>
      </c>
      <c r="G43" s="8">
        <f t="shared" si="27"/>
        <v>57600</v>
      </c>
      <c r="H43" s="8">
        <f t="shared" si="27"/>
        <v>16800</v>
      </c>
      <c r="I43" s="8">
        <f t="shared" si="27"/>
        <v>11600</v>
      </c>
      <c r="J43" s="8">
        <f t="shared" si="27"/>
        <v>24400</v>
      </c>
      <c r="K43" s="8">
        <f t="shared" si="27"/>
        <v>7600</v>
      </c>
      <c r="L43" s="8">
        <f t="shared" si="27"/>
        <v>45600</v>
      </c>
      <c r="M43" s="8">
        <f t="shared" si="27"/>
        <v>14400</v>
      </c>
      <c r="N43" s="8">
        <f t="shared" si="1"/>
        <v>239600</v>
      </c>
      <c r="O43" s="7"/>
    </row>
    <row r="44" spans="1:15">
      <c r="A44" s="5" t="s">
        <v>96</v>
      </c>
      <c r="B44" s="6" t="s">
        <v>97</v>
      </c>
      <c r="C44" s="6"/>
      <c r="D44" s="7" t="s">
        <v>20</v>
      </c>
      <c r="E44" s="8">
        <f>E45</f>
        <v>281524.05</v>
      </c>
      <c r="F44" s="8">
        <f t="shared" ref="F44:M44" si="28">F45</f>
        <v>33240</v>
      </c>
      <c r="G44" s="8">
        <f t="shared" si="28"/>
        <v>436567.5</v>
      </c>
      <c r="H44" s="8">
        <f t="shared" si="28"/>
        <v>162938.4</v>
      </c>
      <c r="I44" s="8">
        <f t="shared" si="28"/>
        <v>64068.6</v>
      </c>
      <c r="J44" s="8">
        <f t="shared" si="28"/>
        <v>117936.3</v>
      </c>
      <c r="K44" s="8">
        <f t="shared" si="28"/>
        <v>119970</v>
      </c>
      <c r="L44" s="8">
        <f t="shared" si="28"/>
        <v>174225</v>
      </c>
      <c r="M44" s="8">
        <f t="shared" si="28"/>
        <v>97749.75</v>
      </c>
      <c r="N44" s="8">
        <f t="shared" si="1"/>
        <v>1488219.6</v>
      </c>
      <c r="O44" s="7"/>
    </row>
    <row r="45" spans="1:15" ht="33.75">
      <c r="A45" s="5" t="s">
        <v>98</v>
      </c>
      <c r="B45" s="6" t="s">
        <v>99</v>
      </c>
      <c r="C45" s="6" t="s">
        <v>27</v>
      </c>
      <c r="D45" s="11" t="s">
        <v>100</v>
      </c>
      <c r="E45" s="8">
        <f>E73*15</f>
        <v>281524.05</v>
      </c>
      <c r="F45" s="8">
        <f t="shared" ref="F45:M45" si="29">F73*15</f>
        <v>33240</v>
      </c>
      <c r="G45" s="8">
        <f t="shared" si="29"/>
        <v>436567.5</v>
      </c>
      <c r="H45" s="8">
        <f t="shared" si="29"/>
        <v>162938.4</v>
      </c>
      <c r="I45" s="8">
        <f t="shared" si="29"/>
        <v>64068.6</v>
      </c>
      <c r="J45" s="8">
        <f t="shared" si="29"/>
        <v>117936.3</v>
      </c>
      <c r="K45" s="8">
        <f t="shared" si="29"/>
        <v>119970</v>
      </c>
      <c r="L45" s="8">
        <f t="shared" si="29"/>
        <v>174225</v>
      </c>
      <c r="M45" s="8">
        <f t="shared" si="29"/>
        <v>97749.75</v>
      </c>
      <c r="N45" s="8">
        <f t="shared" si="1"/>
        <v>1488219.6</v>
      </c>
      <c r="O45" s="7"/>
    </row>
    <row r="46" spans="1:15">
      <c r="A46" s="5" t="s">
        <v>101</v>
      </c>
      <c r="B46" s="6" t="s">
        <v>102</v>
      </c>
      <c r="C46" s="6"/>
      <c r="D46" s="7" t="s">
        <v>20</v>
      </c>
      <c r="E46" s="8">
        <f>E47</f>
        <v>144000</v>
      </c>
      <c r="F46" s="8">
        <f t="shared" ref="F46:M46" si="30">F47</f>
        <v>50016</v>
      </c>
      <c r="G46" s="8">
        <f t="shared" si="30"/>
        <v>100900.8</v>
      </c>
      <c r="H46" s="8">
        <f t="shared" si="30"/>
        <v>50073.599999999999</v>
      </c>
      <c r="I46" s="8">
        <f t="shared" si="30"/>
        <v>23898.400000000001</v>
      </c>
      <c r="J46" s="8">
        <f t="shared" si="30"/>
        <v>33100</v>
      </c>
      <c r="K46" s="8">
        <f t="shared" si="30"/>
        <v>27672</v>
      </c>
      <c r="L46" s="8">
        <f t="shared" si="30"/>
        <v>96000</v>
      </c>
      <c r="M46" s="8">
        <f t="shared" si="30"/>
        <v>37600</v>
      </c>
      <c r="N46" s="8">
        <f t="shared" si="1"/>
        <v>563260.80000000005</v>
      </c>
      <c r="O46" s="7"/>
    </row>
    <row r="47" spans="1:15" ht="33.75">
      <c r="A47" s="5" t="s">
        <v>103</v>
      </c>
      <c r="B47" s="6" t="s">
        <v>104</v>
      </c>
      <c r="C47" s="6" t="s">
        <v>27</v>
      </c>
      <c r="D47" s="11" t="s">
        <v>105</v>
      </c>
      <c r="E47" s="8">
        <f>E74*8</f>
        <v>144000</v>
      </c>
      <c r="F47" s="8">
        <f t="shared" ref="F47:M47" si="31">F74*8</f>
        <v>50016</v>
      </c>
      <c r="G47" s="8">
        <f t="shared" si="31"/>
        <v>100900.8</v>
      </c>
      <c r="H47" s="8">
        <f t="shared" si="31"/>
        <v>50073.599999999999</v>
      </c>
      <c r="I47" s="8">
        <f t="shared" si="31"/>
        <v>23898.400000000001</v>
      </c>
      <c r="J47" s="8">
        <f t="shared" si="31"/>
        <v>33100</v>
      </c>
      <c r="K47" s="8">
        <f t="shared" si="31"/>
        <v>27672</v>
      </c>
      <c r="L47" s="8">
        <f t="shared" si="31"/>
        <v>96000</v>
      </c>
      <c r="M47" s="8">
        <f t="shared" si="31"/>
        <v>37600</v>
      </c>
      <c r="N47" s="8">
        <f t="shared" si="1"/>
        <v>563260.80000000005</v>
      </c>
      <c r="O47" s="7"/>
    </row>
    <row r="48" spans="1:15">
      <c r="A48" s="5" t="s">
        <v>106</v>
      </c>
      <c r="B48" s="6" t="s">
        <v>288</v>
      </c>
      <c r="C48" s="6"/>
      <c r="D48" s="7" t="s">
        <v>20</v>
      </c>
      <c r="E48" s="8">
        <f>E49+E50</f>
        <v>1373760</v>
      </c>
      <c r="F48" s="8">
        <f t="shared" ref="F48:M48" si="32">F49+F50</f>
        <v>43200</v>
      </c>
      <c r="G48" s="8">
        <f t="shared" si="32"/>
        <v>1153440</v>
      </c>
      <c r="H48" s="8">
        <f t="shared" si="32"/>
        <v>194400</v>
      </c>
      <c r="I48" s="8">
        <f t="shared" si="32"/>
        <v>172800</v>
      </c>
      <c r="J48" s="8">
        <f t="shared" si="32"/>
        <v>328320</v>
      </c>
      <c r="K48" s="8">
        <f t="shared" si="32"/>
        <v>82080</v>
      </c>
      <c r="L48" s="8">
        <f t="shared" si="32"/>
        <v>846720</v>
      </c>
      <c r="M48" s="8">
        <f t="shared" si="32"/>
        <v>216000</v>
      </c>
      <c r="N48" s="8">
        <f t="shared" si="1"/>
        <v>4410720</v>
      </c>
      <c r="O48" s="7"/>
    </row>
    <row r="49" spans="1:15" ht="33.75">
      <c r="A49" s="5" t="s">
        <v>107</v>
      </c>
      <c r="B49" s="6" t="s">
        <v>289</v>
      </c>
      <c r="C49" s="6" t="s">
        <v>27</v>
      </c>
      <c r="D49" s="11" t="s">
        <v>108</v>
      </c>
      <c r="E49" s="8">
        <f>E62*4320</f>
        <v>639360</v>
      </c>
      <c r="F49" s="8">
        <f t="shared" ref="F49:M49" si="33">F62*4320</f>
        <v>25920</v>
      </c>
      <c r="G49" s="8">
        <f t="shared" si="33"/>
        <v>622080</v>
      </c>
      <c r="H49" s="8">
        <f t="shared" si="33"/>
        <v>181440</v>
      </c>
      <c r="I49" s="8">
        <f t="shared" si="33"/>
        <v>125280</v>
      </c>
      <c r="J49" s="8">
        <f t="shared" si="33"/>
        <v>263520</v>
      </c>
      <c r="K49" s="8">
        <f t="shared" si="33"/>
        <v>82080</v>
      </c>
      <c r="L49" s="8">
        <f t="shared" si="33"/>
        <v>492480</v>
      </c>
      <c r="M49" s="8">
        <f t="shared" si="33"/>
        <v>155520</v>
      </c>
      <c r="N49" s="8">
        <f t="shared" si="1"/>
        <v>2587680</v>
      </c>
      <c r="O49" s="7"/>
    </row>
    <row r="50" spans="1:15" ht="33.75">
      <c r="A50" s="5" t="s">
        <v>109</v>
      </c>
      <c r="B50" s="6" t="s">
        <v>290</v>
      </c>
      <c r="C50" s="6" t="s">
        <v>27</v>
      </c>
      <c r="D50" s="11" t="s">
        <v>291</v>
      </c>
      <c r="E50" s="8">
        <f>E72*4320</f>
        <v>734400</v>
      </c>
      <c r="F50" s="8">
        <f t="shared" ref="F50:M50" si="34">F72*4320</f>
        <v>17280</v>
      </c>
      <c r="G50" s="8">
        <f t="shared" si="34"/>
        <v>531360</v>
      </c>
      <c r="H50" s="8">
        <f t="shared" si="34"/>
        <v>12960</v>
      </c>
      <c r="I50" s="8">
        <f t="shared" si="34"/>
        <v>47520</v>
      </c>
      <c r="J50" s="8">
        <f t="shared" si="34"/>
        <v>64800</v>
      </c>
      <c r="K50" s="8">
        <f t="shared" si="34"/>
        <v>0</v>
      </c>
      <c r="L50" s="8">
        <f t="shared" si="34"/>
        <v>354240</v>
      </c>
      <c r="M50" s="8">
        <f t="shared" si="34"/>
        <v>60480</v>
      </c>
      <c r="N50" s="8">
        <f t="shared" si="1"/>
        <v>1823040</v>
      </c>
      <c r="O50" s="7"/>
    </row>
    <row r="51" spans="1:15">
      <c r="A51" s="5" t="s">
        <v>110</v>
      </c>
      <c r="B51" s="6" t="s">
        <v>292</v>
      </c>
      <c r="C51" s="6"/>
      <c r="D51" s="7" t="s">
        <v>20</v>
      </c>
      <c r="E51" s="8">
        <f>E52</f>
        <v>757340.57</v>
      </c>
      <c r="F51" s="8">
        <f t="shared" ref="F51:M51" si="35">F52</f>
        <v>30840</v>
      </c>
      <c r="G51" s="8">
        <f t="shared" si="35"/>
        <v>720915.43</v>
      </c>
      <c r="H51" s="8">
        <f t="shared" si="35"/>
        <v>185328</v>
      </c>
      <c r="I51" s="8">
        <f t="shared" si="35"/>
        <v>128777.14</v>
      </c>
      <c r="J51" s="8">
        <f t="shared" si="35"/>
        <v>273048</v>
      </c>
      <c r="K51" s="8">
        <f t="shared" si="35"/>
        <v>77715.429999999993</v>
      </c>
      <c r="L51" s="8">
        <f t="shared" si="35"/>
        <v>583213.71</v>
      </c>
      <c r="M51" s="8">
        <f t="shared" si="35"/>
        <v>157570.29</v>
      </c>
      <c r="N51" s="8">
        <f t="shared" si="1"/>
        <v>2914748.57</v>
      </c>
      <c r="O51" s="7"/>
    </row>
    <row r="52" spans="1:15" ht="22.5">
      <c r="A52" s="5" t="s">
        <v>111</v>
      </c>
      <c r="B52" s="6" t="s">
        <v>112</v>
      </c>
      <c r="C52" s="6" t="s">
        <v>27</v>
      </c>
      <c r="D52" s="7" t="s">
        <v>42</v>
      </c>
      <c r="E52" s="8">
        <f>ROUND(E30/0.07*0.02,2)</f>
        <v>757340.57</v>
      </c>
      <c r="F52" s="8">
        <f t="shared" ref="F52:M52" si="36">ROUND(F30/0.07*0.02,2)</f>
        <v>30840</v>
      </c>
      <c r="G52" s="8">
        <f t="shared" si="36"/>
        <v>720915.43</v>
      </c>
      <c r="H52" s="8">
        <f t="shared" si="36"/>
        <v>185328</v>
      </c>
      <c r="I52" s="8">
        <f t="shared" si="36"/>
        <v>128777.14</v>
      </c>
      <c r="J52" s="8">
        <f t="shared" si="36"/>
        <v>273048</v>
      </c>
      <c r="K52" s="8">
        <f t="shared" si="36"/>
        <v>77715.429999999993</v>
      </c>
      <c r="L52" s="8">
        <f t="shared" si="36"/>
        <v>583213.71</v>
      </c>
      <c r="M52" s="8">
        <f t="shared" si="36"/>
        <v>157570.29</v>
      </c>
      <c r="N52" s="8">
        <f t="shared" si="1"/>
        <v>2914748.57</v>
      </c>
      <c r="O52" s="7"/>
    </row>
    <row r="53" spans="1:15">
      <c r="A53" s="5" t="s">
        <v>113</v>
      </c>
      <c r="B53" s="6" t="s">
        <v>293</v>
      </c>
      <c r="C53" s="6"/>
      <c r="D53" s="7" t="s">
        <v>20</v>
      </c>
      <c r="E53" s="8">
        <f>E54</f>
        <v>32000</v>
      </c>
      <c r="F53" s="8">
        <f t="shared" ref="F53:M53" si="37">F54</f>
        <v>0</v>
      </c>
      <c r="G53" s="8">
        <f t="shared" si="37"/>
        <v>64000</v>
      </c>
      <c r="H53" s="8">
        <f t="shared" si="37"/>
        <v>0</v>
      </c>
      <c r="I53" s="8">
        <f t="shared" si="37"/>
        <v>0</v>
      </c>
      <c r="J53" s="8">
        <f t="shared" si="37"/>
        <v>0</v>
      </c>
      <c r="K53" s="8">
        <f t="shared" si="37"/>
        <v>0</v>
      </c>
      <c r="L53" s="8">
        <f t="shared" si="37"/>
        <v>25000</v>
      </c>
      <c r="M53" s="8">
        <f t="shared" si="37"/>
        <v>0</v>
      </c>
      <c r="N53" s="8">
        <f t="shared" si="1"/>
        <v>121000</v>
      </c>
      <c r="O53" s="7"/>
    </row>
    <row r="54" spans="1:15" ht="90">
      <c r="A54" s="5" t="s">
        <v>114</v>
      </c>
      <c r="B54" s="6" t="s">
        <v>115</v>
      </c>
      <c r="C54" s="6" t="s">
        <v>27</v>
      </c>
      <c r="D54" s="11" t="s">
        <v>294</v>
      </c>
      <c r="E54" s="9">
        <v>32000</v>
      </c>
      <c r="F54" s="9"/>
      <c r="G54" s="9">
        <v>64000</v>
      </c>
      <c r="H54" s="9"/>
      <c r="I54" s="9"/>
      <c r="J54" s="9"/>
      <c r="K54" s="9"/>
      <c r="L54" s="9">
        <v>25000</v>
      </c>
      <c r="M54" s="9"/>
      <c r="N54" s="8">
        <f t="shared" si="1"/>
        <v>121000</v>
      </c>
      <c r="O54" s="7"/>
    </row>
    <row r="55" spans="1:15">
      <c r="A55" s="5" t="s">
        <v>116</v>
      </c>
      <c r="B55" s="6" t="s">
        <v>295</v>
      </c>
      <c r="C55" s="6"/>
      <c r="D55" s="7" t="s">
        <v>20</v>
      </c>
      <c r="E55" s="8">
        <f>E56+E58</f>
        <v>74000</v>
      </c>
      <c r="F55" s="8">
        <f t="shared" ref="F55:M55" si="38">F56+F58</f>
        <v>1600</v>
      </c>
      <c r="G55" s="8">
        <f t="shared" si="38"/>
        <v>54200</v>
      </c>
      <c r="H55" s="8">
        <f t="shared" si="38"/>
        <v>3000</v>
      </c>
      <c r="I55" s="8">
        <f t="shared" si="38"/>
        <v>4700</v>
      </c>
      <c r="J55" s="8">
        <f t="shared" si="38"/>
        <v>9000</v>
      </c>
      <c r="K55" s="8">
        <f t="shared" si="38"/>
        <v>0</v>
      </c>
      <c r="L55" s="8">
        <f t="shared" si="38"/>
        <v>35800</v>
      </c>
      <c r="M55" s="8">
        <f t="shared" si="38"/>
        <v>10600</v>
      </c>
      <c r="N55" s="8">
        <f t="shared" si="1"/>
        <v>192900</v>
      </c>
      <c r="O55" s="7"/>
    </row>
    <row r="56" spans="1:15">
      <c r="A56" s="5" t="s">
        <v>117</v>
      </c>
      <c r="B56" s="6" t="s">
        <v>296</v>
      </c>
      <c r="C56" s="6" t="s">
        <v>27</v>
      </c>
      <c r="D56" s="7" t="s">
        <v>20</v>
      </c>
      <c r="E56" s="8">
        <f>E57</f>
        <v>68000</v>
      </c>
      <c r="F56" s="8">
        <f t="shared" ref="F56:M56" si="39">F57</f>
        <v>1600</v>
      </c>
      <c r="G56" s="8">
        <f t="shared" si="39"/>
        <v>49200</v>
      </c>
      <c r="H56" s="8">
        <f t="shared" si="39"/>
        <v>1200</v>
      </c>
      <c r="I56" s="8">
        <f t="shared" si="39"/>
        <v>4400</v>
      </c>
      <c r="J56" s="8">
        <f t="shared" si="39"/>
        <v>6000</v>
      </c>
      <c r="K56" s="8">
        <f t="shared" si="39"/>
        <v>0</v>
      </c>
      <c r="L56" s="8">
        <f t="shared" si="39"/>
        <v>32800</v>
      </c>
      <c r="M56" s="8">
        <f t="shared" si="39"/>
        <v>5600</v>
      </c>
      <c r="N56" s="8">
        <f t="shared" si="1"/>
        <v>168800</v>
      </c>
      <c r="O56" s="7"/>
    </row>
    <row r="57" spans="1:15" ht="45">
      <c r="A57" s="5" t="s">
        <v>118</v>
      </c>
      <c r="B57" s="6" t="s">
        <v>119</v>
      </c>
      <c r="C57" s="6" t="s">
        <v>27</v>
      </c>
      <c r="D57" s="11" t="s">
        <v>297</v>
      </c>
      <c r="E57" s="8">
        <f>E72*400</f>
        <v>68000</v>
      </c>
      <c r="F57" s="8">
        <f t="shared" ref="F57:M57" si="40">F72*400</f>
        <v>1600</v>
      </c>
      <c r="G57" s="8">
        <f t="shared" si="40"/>
        <v>49200</v>
      </c>
      <c r="H57" s="8">
        <f t="shared" si="40"/>
        <v>1200</v>
      </c>
      <c r="I57" s="8">
        <f t="shared" si="40"/>
        <v>4400</v>
      </c>
      <c r="J57" s="8">
        <f t="shared" si="40"/>
        <v>6000</v>
      </c>
      <c r="K57" s="8">
        <f t="shared" si="40"/>
        <v>0</v>
      </c>
      <c r="L57" s="8">
        <f t="shared" si="40"/>
        <v>32800</v>
      </c>
      <c r="M57" s="8">
        <f t="shared" si="40"/>
        <v>5600</v>
      </c>
      <c r="N57" s="8">
        <f t="shared" si="1"/>
        <v>168800</v>
      </c>
      <c r="O57" s="7"/>
    </row>
    <row r="58" spans="1:15">
      <c r="A58" s="5" t="s">
        <v>120</v>
      </c>
      <c r="B58" s="6" t="s">
        <v>298</v>
      </c>
      <c r="C58" s="6" t="s">
        <v>27</v>
      </c>
      <c r="D58" s="11" t="s">
        <v>121</v>
      </c>
      <c r="E58" s="12">
        <v>6000</v>
      </c>
      <c r="F58" s="12"/>
      <c r="G58" s="12">
        <v>5000</v>
      </c>
      <c r="H58" s="12">
        <v>1800</v>
      </c>
      <c r="I58" s="12">
        <v>300</v>
      </c>
      <c r="J58" s="12">
        <v>3000</v>
      </c>
      <c r="K58" s="12"/>
      <c r="L58" s="12">
        <v>3000</v>
      </c>
      <c r="M58" s="12">
        <v>5000</v>
      </c>
      <c r="N58" s="8">
        <f t="shared" si="1"/>
        <v>24100</v>
      </c>
      <c r="O58" s="7"/>
    </row>
    <row r="59" spans="1:15">
      <c r="A59" s="5" t="s">
        <v>122</v>
      </c>
      <c r="B59" s="6" t="s">
        <v>299</v>
      </c>
      <c r="C59" s="6"/>
      <c r="D59" s="7" t="s">
        <v>20</v>
      </c>
      <c r="E59" s="8">
        <f>E60</f>
        <v>0</v>
      </c>
      <c r="F59" s="8">
        <f t="shared" ref="F59:M59" si="41">F60</f>
        <v>32000</v>
      </c>
      <c r="G59" s="8">
        <f t="shared" si="41"/>
        <v>0</v>
      </c>
      <c r="H59" s="8">
        <f t="shared" si="41"/>
        <v>32000</v>
      </c>
      <c r="I59" s="8">
        <f t="shared" si="41"/>
        <v>32000</v>
      </c>
      <c r="J59" s="8">
        <f t="shared" si="41"/>
        <v>32000</v>
      </c>
      <c r="K59" s="8">
        <f t="shared" si="41"/>
        <v>32000</v>
      </c>
      <c r="L59" s="8">
        <f t="shared" si="41"/>
        <v>0</v>
      </c>
      <c r="M59" s="8">
        <f t="shared" si="41"/>
        <v>32000</v>
      </c>
      <c r="N59" s="8">
        <f t="shared" si="1"/>
        <v>192000</v>
      </c>
      <c r="O59" s="7"/>
    </row>
    <row r="60" spans="1:15" ht="135.75" thickBot="1">
      <c r="A60" s="5" t="s">
        <v>123</v>
      </c>
      <c r="B60" s="13" t="s">
        <v>124</v>
      </c>
      <c r="C60" s="6" t="s">
        <v>27</v>
      </c>
      <c r="D60" s="14" t="s">
        <v>300</v>
      </c>
      <c r="E60" s="2"/>
      <c r="F60" s="2">
        <v>32000</v>
      </c>
      <c r="G60" s="2"/>
      <c r="H60" s="2">
        <v>32000</v>
      </c>
      <c r="I60" s="2">
        <v>32000</v>
      </c>
      <c r="J60" s="2">
        <v>32000</v>
      </c>
      <c r="K60" s="2">
        <v>32000</v>
      </c>
      <c r="L60" s="2"/>
      <c r="M60" s="2">
        <v>32000</v>
      </c>
      <c r="N60" s="8">
        <f t="shared" si="1"/>
        <v>192000</v>
      </c>
      <c r="O60" s="15"/>
    </row>
    <row r="61" spans="1:15" ht="12" thickTop="1">
      <c r="A61" s="5" t="s">
        <v>125</v>
      </c>
      <c r="B61" s="16" t="s">
        <v>126</v>
      </c>
      <c r="C61" s="16"/>
      <c r="D61" s="17"/>
      <c r="E61" s="18"/>
      <c r="F61" s="18"/>
      <c r="G61" s="18"/>
      <c r="H61" s="18"/>
      <c r="I61" s="18"/>
      <c r="J61" s="18"/>
      <c r="K61" s="18"/>
      <c r="L61" s="18"/>
      <c r="M61" s="18"/>
      <c r="N61" s="8">
        <f t="shared" si="1"/>
        <v>0</v>
      </c>
      <c r="O61" s="19"/>
    </row>
    <row r="62" spans="1:15" ht="33.75">
      <c r="A62" s="5" t="s">
        <v>127</v>
      </c>
      <c r="B62" s="6" t="s">
        <v>128</v>
      </c>
      <c r="C62" s="6"/>
      <c r="D62" s="7" t="s">
        <v>301</v>
      </c>
      <c r="E62" s="8">
        <f>E63+E64+E65+E66</f>
        <v>148</v>
      </c>
      <c r="F62" s="8">
        <f t="shared" ref="F62:M62" si="42">F63+F64+F65+F66</f>
        <v>6</v>
      </c>
      <c r="G62" s="8">
        <f t="shared" si="42"/>
        <v>144</v>
      </c>
      <c r="H62" s="8">
        <f t="shared" si="42"/>
        <v>42</v>
      </c>
      <c r="I62" s="8">
        <f t="shared" si="42"/>
        <v>29</v>
      </c>
      <c r="J62" s="8">
        <f t="shared" si="42"/>
        <v>61</v>
      </c>
      <c r="K62" s="8">
        <f t="shared" si="42"/>
        <v>19</v>
      </c>
      <c r="L62" s="8">
        <f t="shared" si="42"/>
        <v>114</v>
      </c>
      <c r="M62" s="8">
        <f t="shared" si="42"/>
        <v>36</v>
      </c>
      <c r="N62" s="8">
        <f t="shared" si="1"/>
        <v>599</v>
      </c>
      <c r="O62" s="7"/>
    </row>
    <row r="63" spans="1:15">
      <c r="A63" s="5" t="s">
        <v>129</v>
      </c>
      <c r="B63" s="20" t="s">
        <v>130</v>
      </c>
      <c r="C63" s="20"/>
      <c r="D63" s="7"/>
      <c r="E63" s="9">
        <v>71</v>
      </c>
      <c r="F63" s="9"/>
      <c r="G63" s="9">
        <v>66</v>
      </c>
      <c r="H63" s="9"/>
      <c r="I63" s="9"/>
      <c r="J63" s="9"/>
      <c r="K63" s="9"/>
      <c r="L63" s="9">
        <v>53</v>
      </c>
      <c r="M63" s="9"/>
      <c r="N63" s="8">
        <f t="shared" si="1"/>
        <v>190</v>
      </c>
      <c r="O63" s="7"/>
    </row>
    <row r="64" spans="1:15">
      <c r="A64" s="5" t="s">
        <v>131</v>
      </c>
      <c r="B64" s="20" t="s">
        <v>132</v>
      </c>
      <c r="C64" s="20"/>
      <c r="D64" s="7"/>
      <c r="E64" s="9">
        <v>77</v>
      </c>
      <c r="F64" s="9"/>
      <c r="G64" s="9">
        <v>78</v>
      </c>
      <c r="H64" s="9"/>
      <c r="I64" s="9"/>
      <c r="J64" s="9"/>
      <c r="K64" s="9"/>
      <c r="L64" s="9">
        <v>61</v>
      </c>
      <c r="M64" s="9"/>
      <c r="N64" s="8">
        <f t="shared" si="1"/>
        <v>216</v>
      </c>
      <c r="O64" s="7"/>
    </row>
    <row r="65" spans="1:15">
      <c r="A65" s="5" t="s">
        <v>133</v>
      </c>
      <c r="B65" s="20" t="s">
        <v>134</v>
      </c>
      <c r="C65" s="20"/>
      <c r="D65" s="7"/>
      <c r="E65" s="9"/>
      <c r="F65" s="9"/>
      <c r="G65" s="9"/>
      <c r="H65" s="9">
        <v>42</v>
      </c>
      <c r="I65" s="9">
        <v>29</v>
      </c>
      <c r="J65" s="9">
        <v>61</v>
      </c>
      <c r="K65" s="9">
        <v>19</v>
      </c>
      <c r="L65" s="9"/>
      <c r="M65" s="9">
        <v>36</v>
      </c>
      <c r="N65" s="8">
        <f t="shared" si="1"/>
        <v>187</v>
      </c>
      <c r="O65" s="7"/>
    </row>
    <row r="66" spans="1:15">
      <c r="A66" s="5" t="s">
        <v>135</v>
      </c>
      <c r="B66" s="20" t="s">
        <v>136</v>
      </c>
      <c r="C66" s="20"/>
      <c r="D66" s="7"/>
      <c r="E66" s="9"/>
      <c r="F66" s="9">
        <v>6</v>
      </c>
      <c r="G66" s="9"/>
      <c r="H66" s="9"/>
      <c r="I66" s="9"/>
      <c r="J66" s="9"/>
      <c r="K66" s="9"/>
      <c r="L66" s="9"/>
      <c r="M66" s="9"/>
      <c r="N66" s="8">
        <f t="shared" si="1"/>
        <v>6</v>
      </c>
      <c r="O66" s="7"/>
    </row>
    <row r="67" spans="1:15" ht="56.25">
      <c r="A67" s="5" t="s">
        <v>137</v>
      </c>
      <c r="B67" s="6" t="s">
        <v>138</v>
      </c>
      <c r="C67" s="6"/>
      <c r="D67" s="7" t="s">
        <v>302</v>
      </c>
      <c r="E67" s="8">
        <f>E68+E69+E70+E71</f>
        <v>2886</v>
      </c>
      <c r="F67" s="8">
        <f t="shared" ref="F67:M67" si="43">F68+F69+F70+F71</f>
        <v>0</v>
      </c>
      <c r="G67" s="8">
        <f t="shared" si="43"/>
        <v>2417</v>
      </c>
      <c r="H67" s="8">
        <f t="shared" si="43"/>
        <v>463</v>
      </c>
      <c r="I67" s="8">
        <f t="shared" si="43"/>
        <v>307</v>
      </c>
      <c r="J67" s="8">
        <f t="shared" si="43"/>
        <v>644</v>
      </c>
      <c r="K67" s="8">
        <f t="shared" si="43"/>
        <v>312</v>
      </c>
      <c r="L67" s="8">
        <f t="shared" si="43"/>
        <v>1417</v>
      </c>
      <c r="M67" s="8">
        <f t="shared" si="43"/>
        <v>413</v>
      </c>
      <c r="N67" s="8">
        <f t="shared" si="1"/>
        <v>8859</v>
      </c>
      <c r="O67" s="7"/>
    </row>
    <row r="68" spans="1:15">
      <c r="A68" s="5" t="s">
        <v>139</v>
      </c>
      <c r="B68" s="20" t="s">
        <v>130</v>
      </c>
      <c r="C68" s="20"/>
      <c r="D68" s="7"/>
      <c r="E68" s="9">
        <v>1099</v>
      </c>
      <c r="F68" s="9"/>
      <c r="G68" s="9">
        <v>1097</v>
      </c>
      <c r="H68" s="9"/>
      <c r="I68" s="9"/>
      <c r="J68" s="9"/>
      <c r="K68" s="9"/>
      <c r="L68" s="9">
        <v>706</v>
      </c>
      <c r="M68" s="9"/>
      <c r="N68" s="8">
        <f t="shared" ref="N68:N74" si="44">SUM(E68:M68)</f>
        <v>2902</v>
      </c>
      <c r="O68" s="7"/>
    </row>
    <row r="69" spans="1:15">
      <c r="A69" s="5" t="s">
        <v>140</v>
      </c>
      <c r="B69" s="20" t="s">
        <v>132</v>
      </c>
      <c r="C69" s="20"/>
      <c r="D69" s="7"/>
      <c r="E69" s="9">
        <v>1787</v>
      </c>
      <c r="F69" s="9"/>
      <c r="G69" s="9">
        <v>1320</v>
      </c>
      <c r="H69" s="9"/>
      <c r="I69" s="9"/>
      <c r="J69" s="9"/>
      <c r="K69" s="9"/>
      <c r="L69" s="9">
        <v>711</v>
      </c>
      <c r="M69" s="9"/>
      <c r="N69" s="8">
        <f t="shared" si="44"/>
        <v>3818</v>
      </c>
      <c r="O69" s="7"/>
    </row>
    <row r="70" spans="1:15">
      <c r="A70" s="5" t="s">
        <v>141</v>
      </c>
      <c r="B70" s="20" t="s">
        <v>134</v>
      </c>
      <c r="C70" s="20"/>
      <c r="D70" s="7"/>
      <c r="E70" s="9"/>
      <c r="F70" s="9"/>
      <c r="G70" s="9"/>
      <c r="H70" s="9">
        <v>463</v>
      </c>
      <c r="I70" s="9">
        <v>307</v>
      </c>
      <c r="J70" s="9">
        <v>644</v>
      </c>
      <c r="K70" s="9">
        <v>312</v>
      </c>
      <c r="L70" s="9"/>
      <c r="M70" s="9">
        <v>413</v>
      </c>
      <c r="N70" s="8">
        <f t="shared" si="44"/>
        <v>2139</v>
      </c>
      <c r="O70" s="7"/>
    </row>
    <row r="71" spans="1:15">
      <c r="A71" s="5" t="s">
        <v>142</v>
      </c>
      <c r="B71" s="20" t="s">
        <v>136</v>
      </c>
      <c r="C71" s="20"/>
      <c r="D71" s="7"/>
      <c r="E71" s="9"/>
      <c r="F71" s="9"/>
      <c r="G71" s="9"/>
      <c r="H71" s="9"/>
      <c r="I71" s="9"/>
      <c r="J71" s="9"/>
      <c r="K71" s="9"/>
      <c r="L71" s="9"/>
      <c r="M71" s="9"/>
      <c r="N71" s="8">
        <f t="shared" si="44"/>
        <v>0</v>
      </c>
      <c r="O71" s="7"/>
    </row>
    <row r="72" spans="1:15">
      <c r="A72" s="5" t="s">
        <v>143</v>
      </c>
      <c r="B72" s="6" t="s">
        <v>303</v>
      </c>
      <c r="C72" s="6"/>
      <c r="D72" s="7"/>
      <c r="E72" s="9">
        <v>170</v>
      </c>
      <c r="F72" s="9">
        <v>4</v>
      </c>
      <c r="G72" s="9">
        <v>123</v>
      </c>
      <c r="H72" s="9">
        <v>3</v>
      </c>
      <c r="I72" s="9">
        <v>11</v>
      </c>
      <c r="J72" s="9">
        <v>15</v>
      </c>
      <c r="K72" s="9">
        <v>0</v>
      </c>
      <c r="L72" s="9">
        <v>82</v>
      </c>
      <c r="M72" s="9">
        <v>14</v>
      </c>
      <c r="N72" s="8">
        <f t="shared" si="44"/>
        <v>422</v>
      </c>
      <c r="O72" s="7"/>
    </row>
    <row r="73" spans="1:15">
      <c r="A73" s="5" t="s">
        <v>144</v>
      </c>
      <c r="B73" s="20" t="s">
        <v>304</v>
      </c>
      <c r="C73" s="20"/>
      <c r="D73" s="11"/>
      <c r="E73" s="9">
        <v>18768.27</v>
      </c>
      <c r="F73" s="9">
        <v>2216</v>
      </c>
      <c r="G73" s="9">
        <v>29104.5</v>
      </c>
      <c r="H73" s="9">
        <v>10862.56</v>
      </c>
      <c r="I73" s="9">
        <v>4271.24</v>
      </c>
      <c r="J73" s="9">
        <v>7862.42</v>
      </c>
      <c r="K73" s="9">
        <v>7998</v>
      </c>
      <c r="L73" s="9">
        <v>11615</v>
      </c>
      <c r="M73" s="9">
        <v>6516.65</v>
      </c>
      <c r="N73" s="8">
        <f t="shared" si="44"/>
        <v>99214.64</v>
      </c>
      <c r="O73" s="7"/>
    </row>
    <row r="74" spans="1:15">
      <c r="A74" s="5" t="s">
        <v>145</v>
      </c>
      <c r="B74" s="20" t="s">
        <v>305</v>
      </c>
      <c r="C74" s="20"/>
      <c r="D74" s="11"/>
      <c r="E74" s="9">
        <v>18000</v>
      </c>
      <c r="F74" s="9">
        <v>6252</v>
      </c>
      <c r="G74" s="9">
        <v>12612.6</v>
      </c>
      <c r="H74" s="9">
        <v>6259.2</v>
      </c>
      <c r="I74" s="9">
        <v>2987.3</v>
      </c>
      <c r="J74" s="9">
        <v>4137.5</v>
      </c>
      <c r="K74" s="9">
        <v>3459</v>
      </c>
      <c r="L74" s="9">
        <v>12000</v>
      </c>
      <c r="M74" s="9">
        <v>4700</v>
      </c>
      <c r="N74" s="8">
        <f t="shared" si="44"/>
        <v>70407.600000000006</v>
      </c>
      <c r="O74" s="7"/>
    </row>
  </sheetData>
  <protectedRanges>
    <protectedRange password="E9C1" sqref="D30 C31 A5:D6 B7:D29 B32:D74 N5:O74 A7:A74 A2:O4" name="区域1_1"/>
    <protectedRange password="E9C1" sqref="B30:C30 B31" name="区域1_1_1"/>
    <protectedRange password="E9C1" sqref="D31" name="区域1_2"/>
  </protectedRanges>
  <mergeCells count="7">
    <mergeCell ref="A1:O1"/>
    <mergeCell ref="A2:A3"/>
    <mergeCell ref="B2:B3"/>
    <mergeCell ref="C2:C3"/>
    <mergeCell ref="D2:D3"/>
    <mergeCell ref="N2:N3"/>
    <mergeCell ref="O2:O3"/>
  </mergeCells>
  <phoneticPr fontId="2" type="noConversion"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U74"/>
  <sheetViews>
    <sheetView workbookViewId="0">
      <selection activeCell="P4" sqref="P4"/>
    </sheetView>
  </sheetViews>
  <sheetFormatPr defaultRowHeight="11.25"/>
  <cols>
    <col min="1" max="1" width="9" style="21"/>
    <col min="2" max="2" width="22.625" style="3" customWidth="1"/>
    <col min="3" max="3" width="9" style="3"/>
    <col min="4" max="4" width="9" style="22"/>
    <col min="5" max="5" width="12" style="3" customWidth="1"/>
    <col min="6" max="6" width="11.875" style="3" customWidth="1"/>
    <col min="7" max="7" width="13.375" style="3" customWidth="1"/>
    <col min="8" max="8" width="12.25" style="3" customWidth="1"/>
    <col min="9" max="9" width="10.5" style="3" customWidth="1"/>
    <col min="10" max="10" width="10.75" style="3" customWidth="1"/>
    <col min="11" max="11" width="11.125" style="3" customWidth="1"/>
    <col min="12" max="12" width="10.25" style="3" customWidth="1"/>
    <col min="13" max="14" width="9" style="3"/>
    <col min="15" max="15" width="10.75" style="3" customWidth="1"/>
    <col min="16" max="17" width="9" style="3"/>
    <col min="18" max="18" width="10.375" style="3" customWidth="1"/>
    <col min="19" max="19" width="9" style="3"/>
    <col min="20" max="20" width="11.125" style="3" customWidth="1"/>
    <col min="21" max="16384" width="9" style="3"/>
  </cols>
  <sheetData>
    <row r="1" spans="1:21" ht="25.5">
      <c r="A1" s="92" t="s">
        <v>168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</row>
    <row r="2" spans="1:21">
      <c r="A2" s="93" t="s">
        <v>1</v>
      </c>
      <c r="B2" s="93" t="s">
        <v>2</v>
      </c>
      <c r="C2" s="93" t="s">
        <v>3</v>
      </c>
      <c r="D2" s="93" t="s">
        <v>4</v>
      </c>
      <c r="E2" s="4" t="s">
        <v>241</v>
      </c>
      <c r="F2" s="4" t="s">
        <v>242</v>
      </c>
      <c r="G2" s="4" t="s">
        <v>243</v>
      </c>
      <c r="H2" s="4" t="s">
        <v>244</v>
      </c>
      <c r="I2" s="4" t="s">
        <v>245</v>
      </c>
      <c r="J2" s="4" t="s">
        <v>246</v>
      </c>
      <c r="K2" s="4" t="s">
        <v>247</v>
      </c>
      <c r="L2" s="4" t="s">
        <v>248</v>
      </c>
      <c r="M2" s="4" t="s">
        <v>249</v>
      </c>
      <c r="N2" s="4" t="s">
        <v>250</v>
      </c>
      <c r="O2" s="4" t="s">
        <v>251</v>
      </c>
      <c r="P2" s="4" t="s">
        <v>15</v>
      </c>
      <c r="Q2" s="4" t="s">
        <v>252</v>
      </c>
      <c r="R2" s="4" t="s">
        <v>253</v>
      </c>
      <c r="S2" s="4" t="s">
        <v>254</v>
      </c>
      <c r="T2" s="101" t="s">
        <v>16</v>
      </c>
      <c r="U2" s="101" t="s">
        <v>17</v>
      </c>
    </row>
    <row r="3" spans="1:21">
      <c r="A3" s="94"/>
      <c r="B3" s="94"/>
      <c r="C3" s="94"/>
      <c r="D3" s="94"/>
      <c r="E3" s="4" t="s">
        <v>339</v>
      </c>
      <c r="F3" s="4" t="s">
        <v>339</v>
      </c>
      <c r="G3" s="4" t="s">
        <v>340</v>
      </c>
      <c r="H3" s="4" t="s">
        <v>340</v>
      </c>
      <c r="I3" s="4" t="s">
        <v>340</v>
      </c>
      <c r="J3" s="4" t="s">
        <v>340</v>
      </c>
      <c r="K3" s="4" t="s">
        <v>341</v>
      </c>
      <c r="L3" s="4" t="s">
        <v>341</v>
      </c>
      <c r="M3" s="4" t="s">
        <v>341</v>
      </c>
      <c r="N3" s="4" t="s">
        <v>341</v>
      </c>
      <c r="O3" s="4" t="s">
        <v>324</v>
      </c>
      <c r="P3" s="4" t="s">
        <v>342</v>
      </c>
      <c r="Q3" s="4" t="s">
        <v>341</v>
      </c>
      <c r="R3" s="4" t="s">
        <v>339</v>
      </c>
      <c r="S3" s="4" t="s">
        <v>341</v>
      </c>
      <c r="T3" s="102"/>
      <c r="U3" s="102"/>
    </row>
    <row r="4" spans="1:21">
      <c r="A4" s="5" t="s">
        <v>18</v>
      </c>
      <c r="B4" s="6" t="s">
        <v>19</v>
      </c>
      <c r="C4" s="6"/>
      <c r="D4" s="7" t="s">
        <v>20</v>
      </c>
      <c r="E4" s="8">
        <f>E5+E32+E39</f>
        <v>53522080.269999996</v>
      </c>
      <c r="F4" s="8">
        <f t="shared" ref="F4:S4" si="0">F5+F32+F39</f>
        <v>32914175.149999999</v>
      </c>
      <c r="G4" s="8">
        <f t="shared" si="0"/>
        <v>34871811</v>
      </c>
      <c r="H4" s="8">
        <f t="shared" si="0"/>
        <v>35668823.730000004</v>
      </c>
      <c r="I4" s="8">
        <f t="shared" si="0"/>
        <v>79378694.179999992</v>
      </c>
      <c r="J4" s="8">
        <f t="shared" si="0"/>
        <v>24789482.799999997</v>
      </c>
      <c r="K4" s="8">
        <f t="shared" si="0"/>
        <v>20471426.75</v>
      </c>
      <c r="L4" s="8">
        <f t="shared" si="0"/>
        <v>18682295.319999997</v>
      </c>
      <c r="M4" s="8">
        <f t="shared" si="0"/>
        <v>16455408.600000001</v>
      </c>
      <c r="N4" s="8">
        <f t="shared" si="0"/>
        <v>16660186.949999999</v>
      </c>
      <c r="O4" s="8">
        <f t="shared" si="0"/>
        <v>56118298.770000003</v>
      </c>
      <c r="P4" s="8">
        <f t="shared" si="0"/>
        <v>2220710.27</v>
      </c>
      <c r="Q4" s="8">
        <f t="shared" si="0"/>
        <v>6699571.5799999991</v>
      </c>
      <c r="R4" s="8">
        <f t="shared" si="0"/>
        <v>38636843.969999999</v>
      </c>
      <c r="S4" s="8">
        <f t="shared" si="0"/>
        <v>12011054.65</v>
      </c>
      <c r="T4" s="8">
        <f t="shared" ref="T4:T67" si="1">SUM(E4:S4)</f>
        <v>449100863.98999989</v>
      </c>
      <c r="U4" s="7"/>
    </row>
    <row r="5" spans="1:21">
      <c r="A5" s="5" t="s">
        <v>21</v>
      </c>
      <c r="B5" s="6" t="s">
        <v>22</v>
      </c>
      <c r="C5" s="6"/>
      <c r="D5" s="7" t="s">
        <v>20</v>
      </c>
      <c r="E5" s="8">
        <f>E6+E9+E13+E16+E21+E26+E28+E30+E31</f>
        <v>42619242.559999995</v>
      </c>
      <c r="F5" s="8">
        <f t="shared" ref="F5:S5" si="2">F6+F9+F13+F16+F21+F26+F28+F30+F31</f>
        <v>26653680.289999999</v>
      </c>
      <c r="G5" s="8">
        <f t="shared" si="2"/>
        <v>28199038</v>
      </c>
      <c r="H5" s="8">
        <f t="shared" si="2"/>
        <v>29957191.440000001</v>
      </c>
      <c r="I5" s="8">
        <f t="shared" si="2"/>
        <v>66609036.149999999</v>
      </c>
      <c r="J5" s="8">
        <f t="shared" si="2"/>
        <v>20911358.289999999</v>
      </c>
      <c r="K5" s="8">
        <f t="shared" si="2"/>
        <v>17663592.289999999</v>
      </c>
      <c r="L5" s="8">
        <f t="shared" si="2"/>
        <v>15405155.849999998</v>
      </c>
      <c r="M5" s="8">
        <f t="shared" si="2"/>
        <v>13961561.710000001</v>
      </c>
      <c r="N5" s="8">
        <f t="shared" si="2"/>
        <v>14341290.289999999</v>
      </c>
      <c r="O5" s="8">
        <f t="shared" si="2"/>
        <v>47329924.850000001</v>
      </c>
      <c r="P5" s="8">
        <f t="shared" si="2"/>
        <v>1927304.5599999998</v>
      </c>
      <c r="Q5" s="8">
        <f t="shared" si="2"/>
        <v>5575661.1499999994</v>
      </c>
      <c r="R5" s="8">
        <f t="shared" si="2"/>
        <v>31675273.559999999</v>
      </c>
      <c r="S5" s="8">
        <f t="shared" si="2"/>
        <v>10075646.710000001</v>
      </c>
      <c r="T5" s="8">
        <f t="shared" si="1"/>
        <v>372904957.69999999</v>
      </c>
      <c r="U5" s="7"/>
    </row>
    <row r="6" spans="1:21">
      <c r="A6" s="5" t="s">
        <v>23</v>
      </c>
      <c r="B6" s="6" t="s">
        <v>24</v>
      </c>
      <c r="C6" s="6"/>
      <c r="D6" s="7" t="s">
        <v>20</v>
      </c>
      <c r="E6" s="8">
        <f>E7+E8</f>
        <v>6458820</v>
      </c>
      <c r="F6" s="8">
        <f t="shared" ref="F6:S6" si="3">F7+F8</f>
        <v>4025112</v>
      </c>
      <c r="G6" s="8">
        <f t="shared" si="3"/>
        <v>4577136</v>
      </c>
      <c r="H6" s="8">
        <f t="shared" si="3"/>
        <v>4771092</v>
      </c>
      <c r="I6" s="8">
        <f t="shared" si="3"/>
        <v>9644604</v>
      </c>
      <c r="J6" s="8">
        <f t="shared" si="3"/>
        <v>2848848</v>
      </c>
      <c r="K6" s="8">
        <f t="shared" si="3"/>
        <v>2925132</v>
      </c>
      <c r="L6" s="8">
        <f t="shared" si="3"/>
        <v>2471724</v>
      </c>
      <c r="M6" s="8">
        <f t="shared" si="3"/>
        <v>2163240</v>
      </c>
      <c r="N6" s="8">
        <f t="shared" si="3"/>
        <v>2279856</v>
      </c>
      <c r="O6" s="8">
        <f t="shared" si="3"/>
        <v>6834948</v>
      </c>
      <c r="P6" s="8">
        <f t="shared" si="3"/>
        <v>288204</v>
      </c>
      <c r="Q6" s="8">
        <f t="shared" si="3"/>
        <v>809304</v>
      </c>
      <c r="R6" s="8">
        <f t="shared" si="3"/>
        <v>3595056</v>
      </c>
      <c r="S6" s="8">
        <f t="shared" si="3"/>
        <v>1523892</v>
      </c>
      <c r="T6" s="8">
        <f t="shared" si="1"/>
        <v>55216968</v>
      </c>
      <c r="U6" s="7"/>
    </row>
    <row r="7" spans="1:21" ht="22.5">
      <c r="A7" s="5" t="s">
        <v>25</v>
      </c>
      <c r="B7" s="6" t="s">
        <v>26</v>
      </c>
      <c r="C7" s="6" t="s">
        <v>27</v>
      </c>
      <c r="D7" s="7" t="s">
        <v>28</v>
      </c>
      <c r="E7" s="9">
        <f>289662*12</f>
        <v>3475944</v>
      </c>
      <c r="F7" s="9">
        <f>186687*12</f>
        <v>2240244</v>
      </c>
      <c r="G7" s="9">
        <f>189212*12</f>
        <v>2270544</v>
      </c>
      <c r="H7" s="9">
        <f>209161*12</f>
        <v>2509932</v>
      </c>
      <c r="I7" s="9">
        <f>473945*12</f>
        <v>5687340</v>
      </c>
      <c r="J7" s="9">
        <f>146474*12</f>
        <v>1757688</v>
      </c>
      <c r="K7" s="9">
        <f>131402*12</f>
        <v>1576824</v>
      </c>
      <c r="L7" s="9">
        <f>116572*12</f>
        <v>1398864</v>
      </c>
      <c r="M7" s="9">
        <f>107876*12</f>
        <v>1294512</v>
      </c>
      <c r="N7" s="9">
        <f>109520*12</f>
        <v>1314240</v>
      </c>
      <c r="O7" s="9">
        <f>331469*12</f>
        <v>3977628</v>
      </c>
      <c r="P7" s="9">
        <f>13030*12</f>
        <v>156360</v>
      </c>
      <c r="Q7" s="9">
        <f>42938*12</f>
        <v>515256</v>
      </c>
      <c r="R7" s="9">
        <f>187922*12</f>
        <v>2255064</v>
      </c>
      <c r="S7" s="9">
        <f>76214*12</f>
        <v>914568</v>
      </c>
      <c r="T7" s="8">
        <f t="shared" si="1"/>
        <v>31345008</v>
      </c>
      <c r="U7" s="10"/>
    </row>
    <row r="8" spans="1:21" ht="22.5">
      <c r="A8" s="5" t="s">
        <v>29</v>
      </c>
      <c r="B8" s="6" t="s">
        <v>30</v>
      </c>
      <c r="C8" s="6" t="s">
        <v>27</v>
      </c>
      <c r="D8" s="7" t="s">
        <v>28</v>
      </c>
      <c r="E8" s="9">
        <f>248573*12</f>
        <v>2982876</v>
      </c>
      <c r="F8" s="9">
        <f>148739*12</f>
        <v>1784868</v>
      </c>
      <c r="G8" s="9">
        <f>192216*12</f>
        <v>2306592</v>
      </c>
      <c r="H8" s="9">
        <f>188430*12</f>
        <v>2261160</v>
      </c>
      <c r="I8" s="9">
        <f>329772*12</f>
        <v>3957264</v>
      </c>
      <c r="J8" s="9">
        <f>90930*12</f>
        <v>1091160</v>
      </c>
      <c r="K8" s="9">
        <f>112359*12</f>
        <v>1348308</v>
      </c>
      <c r="L8" s="9">
        <f>89405*12</f>
        <v>1072860</v>
      </c>
      <c r="M8" s="9">
        <f>72394*12</f>
        <v>868728</v>
      </c>
      <c r="N8" s="9">
        <f>80468*12</f>
        <v>965616</v>
      </c>
      <c r="O8" s="9">
        <f>238110*12</f>
        <v>2857320</v>
      </c>
      <c r="P8" s="9">
        <f>10987*12</f>
        <v>131844</v>
      </c>
      <c r="Q8" s="9">
        <f>24504*12</f>
        <v>294048</v>
      </c>
      <c r="R8" s="9">
        <f>111666*12</f>
        <v>1339992</v>
      </c>
      <c r="S8" s="9">
        <f>50777*12</f>
        <v>609324</v>
      </c>
      <c r="T8" s="8">
        <f t="shared" si="1"/>
        <v>23871960</v>
      </c>
      <c r="U8" s="7"/>
    </row>
    <row r="9" spans="1:21">
      <c r="A9" s="5" t="s">
        <v>31</v>
      </c>
      <c r="B9" s="6" t="s">
        <v>32</v>
      </c>
      <c r="C9" s="6"/>
      <c r="D9" s="7" t="s">
        <v>20</v>
      </c>
      <c r="E9" s="8">
        <f>E10+E11</f>
        <v>589848</v>
      </c>
      <c r="F9" s="8">
        <f t="shared" ref="F9:S9" si="4">F10+F11</f>
        <v>369672</v>
      </c>
      <c r="G9" s="8">
        <f t="shared" si="4"/>
        <v>397872</v>
      </c>
      <c r="H9" s="8">
        <f t="shared" si="4"/>
        <v>444312</v>
      </c>
      <c r="I9" s="8">
        <f t="shared" si="4"/>
        <v>992832</v>
      </c>
      <c r="J9" s="8">
        <f t="shared" si="4"/>
        <v>314364</v>
      </c>
      <c r="K9" s="8">
        <f t="shared" si="4"/>
        <v>289632</v>
      </c>
      <c r="L9" s="8">
        <f t="shared" si="4"/>
        <v>251604</v>
      </c>
      <c r="M9" s="8">
        <f t="shared" si="4"/>
        <v>234972</v>
      </c>
      <c r="N9" s="8">
        <f t="shared" si="4"/>
        <v>235572</v>
      </c>
      <c r="O9" s="8">
        <f t="shared" si="4"/>
        <v>684504</v>
      </c>
      <c r="P9" s="8">
        <f t="shared" si="4"/>
        <v>26772</v>
      </c>
      <c r="Q9" s="8">
        <f t="shared" si="4"/>
        <v>95904</v>
      </c>
      <c r="R9" s="8">
        <f t="shared" si="4"/>
        <v>477828</v>
      </c>
      <c r="S9" s="8">
        <f t="shared" si="4"/>
        <v>170868</v>
      </c>
      <c r="T9" s="8">
        <f t="shared" si="1"/>
        <v>5576556</v>
      </c>
      <c r="U9" s="7"/>
    </row>
    <row r="10" spans="1:21" ht="22.5">
      <c r="A10" s="5" t="s">
        <v>33</v>
      </c>
      <c r="B10" s="6" t="s">
        <v>34</v>
      </c>
      <c r="C10" s="6" t="s">
        <v>27</v>
      </c>
      <c r="D10" s="7" t="s">
        <v>28</v>
      </c>
      <c r="E10" s="9">
        <f>754*12</f>
        <v>9048</v>
      </c>
      <c r="F10" s="9">
        <f>446*12</f>
        <v>5352</v>
      </c>
      <c r="G10" s="9">
        <f>596*12</f>
        <v>7152</v>
      </c>
      <c r="H10" s="9">
        <f>506*12</f>
        <v>6072</v>
      </c>
      <c r="I10" s="9">
        <f>896*12</f>
        <v>10752</v>
      </c>
      <c r="J10" s="9">
        <f>237*12</f>
        <v>2844</v>
      </c>
      <c r="K10" s="9">
        <f>376*12</f>
        <v>4512</v>
      </c>
      <c r="L10" s="9">
        <f>287*12</f>
        <v>3444</v>
      </c>
      <c r="M10" s="9">
        <f>221*12</f>
        <v>2652</v>
      </c>
      <c r="N10" s="9">
        <f>271*12</f>
        <v>3252</v>
      </c>
      <c r="O10" s="9">
        <f>722*12</f>
        <v>8664</v>
      </c>
      <c r="P10" s="9">
        <f>31*12</f>
        <v>372</v>
      </c>
      <c r="Q10" s="9">
        <f>72*12</f>
        <v>864</v>
      </c>
      <c r="R10" s="9">
        <f>219*12</f>
        <v>2628</v>
      </c>
      <c r="S10" s="9">
        <f>159*12</f>
        <v>1908</v>
      </c>
      <c r="T10" s="8">
        <f t="shared" si="1"/>
        <v>69516</v>
      </c>
      <c r="U10" s="7"/>
    </row>
    <row r="11" spans="1:21">
      <c r="A11" s="5" t="s">
        <v>35</v>
      </c>
      <c r="B11" s="6" t="s">
        <v>36</v>
      </c>
      <c r="C11" s="6"/>
      <c r="D11" s="7" t="s">
        <v>20</v>
      </c>
      <c r="E11" s="8">
        <f>E12</f>
        <v>580800</v>
      </c>
      <c r="F11" s="8">
        <f t="shared" ref="F11:S11" si="5">F12</f>
        <v>364320</v>
      </c>
      <c r="G11" s="8">
        <f t="shared" si="5"/>
        <v>390720</v>
      </c>
      <c r="H11" s="8">
        <f t="shared" si="5"/>
        <v>438240</v>
      </c>
      <c r="I11" s="8">
        <f t="shared" si="5"/>
        <v>982080</v>
      </c>
      <c r="J11" s="8">
        <f t="shared" si="5"/>
        <v>311520</v>
      </c>
      <c r="K11" s="8">
        <f t="shared" si="5"/>
        <v>285120</v>
      </c>
      <c r="L11" s="8">
        <f t="shared" si="5"/>
        <v>248160</v>
      </c>
      <c r="M11" s="8">
        <f t="shared" si="5"/>
        <v>232320</v>
      </c>
      <c r="N11" s="8">
        <f t="shared" si="5"/>
        <v>232320</v>
      </c>
      <c r="O11" s="8">
        <f t="shared" si="5"/>
        <v>675840</v>
      </c>
      <c r="P11" s="8">
        <f t="shared" si="5"/>
        <v>26400</v>
      </c>
      <c r="Q11" s="8">
        <f t="shared" si="5"/>
        <v>95040</v>
      </c>
      <c r="R11" s="8">
        <f t="shared" si="5"/>
        <v>475200</v>
      </c>
      <c r="S11" s="8">
        <f t="shared" si="5"/>
        <v>168960</v>
      </c>
      <c r="T11" s="8">
        <f t="shared" si="1"/>
        <v>5507040</v>
      </c>
      <c r="U11" s="7"/>
    </row>
    <row r="12" spans="1:21">
      <c r="A12" s="5" t="s">
        <v>37</v>
      </c>
      <c r="B12" s="6" t="s">
        <v>188</v>
      </c>
      <c r="C12" s="6" t="s">
        <v>27</v>
      </c>
      <c r="D12" s="7" t="s">
        <v>20</v>
      </c>
      <c r="E12" s="8">
        <f>440*12*E62</f>
        <v>580800</v>
      </c>
      <c r="F12" s="8">
        <f t="shared" ref="F12:S12" si="6">440*12*F62</f>
        <v>364320</v>
      </c>
      <c r="G12" s="8">
        <f t="shared" si="6"/>
        <v>390720</v>
      </c>
      <c r="H12" s="8">
        <f t="shared" si="6"/>
        <v>438240</v>
      </c>
      <c r="I12" s="8">
        <f t="shared" si="6"/>
        <v>982080</v>
      </c>
      <c r="J12" s="8">
        <f t="shared" si="6"/>
        <v>311520</v>
      </c>
      <c r="K12" s="8">
        <f t="shared" si="6"/>
        <v>285120</v>
      </c>
      <c r="L12" s="8">
        <f t="shared" si="6"/>
        <v>248160</v>
      </c>
      <c r="M12" s="8">
        <f t="shared" si="6"/>
        <v>232320</v>
      </c>
      <c r="N12" s="8">
        <f t="shared" si="6"/>
        <v>232320</v>
      </c>
      <c r="O12" s="8">
        <f t="shared" si="6"/>
        <v>675840</v>
      </c>
      <c r="P12" s="8">
        <f t="shared" si="6"/>
        <v>26400</v>
      </c>
      <c r="Q12" s="8">
        <f t="shared" si="6"/>
        <v>95040</v>
      </c>
      <c r="R12" s="8">
        <f t="shared" si="6"/>
        <v>475200</v>
      </c>
      <c r="S12" s="8">
        <f t="shared" si="6"/>
        <v>168960</v>
      </c>
      <c r="T12" s="8">
        <f t="shared" si="1"/>
        <v>5507040</v>
      </c>
      <c r="U12" s="7"/>
    </row>
    <row r="13" spans="1:21" ht="33.75">
      <c r="A13" s="5" t="s">
        <v>38</v>
      </c>
      <c r="B13" s="6" t="s">
        <v>39</v>
      </c>
      <c r="C13" s="6"/>
      <c r="D13" s="7" t="s">
        <v>40</v>
      </c>
      <c r="E13" s="8">
        <f>E14+E15</f>
        <v>297252.86</v>
      </c>
      <c r="F13" s="8">
        <f t="shared" ref="F13:S13" si="7">F14+F15</f>
        <v>185869.42</v>
      </c>
      <c r="G13" s="8">
        <f t="shared" si="7"/>
        <v>194834</v>
      </c>
      <c r="H13" s="8">
        <f t="shared" si="7"/>
        <v>195121.14</v>
      </c>
      <c r="I13" s="8">
        <f t="shared" si="7"/>
        <v>443144.72</v>
      </c>
      <c r="J13" s="8">
        <f t="shared" si="7"/>
        <v>141203.42000000001</v>
      </c>
      <c r="K13" s="8">
        <f t="shared" si="7"/>
        <v>122529.42</v>
      </c>
      <c r="L13" s="8">
        <f t="shared" si="7"/>
        <v>104915.28</v>
      </c>
      <c r="M13" s="8">
        <f t="shared" si="7"/>
        <v>92844.58</v>
      </c>
      <c r="N13" s="8">
        <f t="shared" si="7"/>
        <v>97651.42</v>
      </c>
      <c r="O13" s="8">
        <f t="shared" si="7"/>
        <v>317060.28000000003</v>
      </c>
      <c r="P13" s="8">
        <f t="shared" si="7"/>
        <v>12762.86</v>
      </c>
      <c r="Q13" s="8">
        <f t="shared" si="7"/>
        <v>35777.72</v>
      </c>
      <c r="R13" s="8">
        <f t="shared" si="7"/>
        <v>209199.86</v>
      </c>
      <c r="S13" s="8">
        <f t="shared" si="7"/>
        <v>67285.58</v>
      </c>
      <c r="T13" s="8">
        <f t="shared" si="1"/>
        <v>2517452.56</v>
      </c>
      <c r="U13" s="7"/>
    </row>
    <row r="14" spans="1:21" ht="22.5">
      <c r="A14" s="5" t="s">
        <v>41</v>
      </c>
      <c r="B14" s="6" t="s">
        <v>189</v>
      </c>
      <c r="C14" s="6" t="s">
        <v>27</v>
      </c>
      <c r="D14" s="7" t="s">
        <v>42</v>
      </c>
      <c r="E14" s="8">
        <f>ROUND(E30/0.07*0.005,2)</f>
        <v>148626.43</v>
      </c>
      <c r="F14" s="8">
        <f t="shared" ref="F14:S14" si="8">ROUND(F30/0.07*0.005,2)</f>
        <v>92934.71</v>
      </c>
      <c r="G14" s="8">
        <f t="shared" si="8"/>
        <v>97417</v>
      </c>
      <c r="H14" s="8">
        <f t="shared" si="8"/>
        <v>97560.57</v>
      </c>
      <c r="I14" s="8">
        <f t="shared" si="8"/>
        <v>221572.36</v>
      </c>
      <c r="J14" s="8">
        <f t="shared" si="8"/>
        <v>70601.710000000006</v>
      </c>
      <c r="K14" s="8">
        <f t="shared" si="8"/>
        <v>61264.71</v>
      </c>
      <c r="L14" s="8">
        <f t="shared" si="8"/>
        <v>52457.64</v>
      </c>
      <c r="M14" s="8">
        <f t="shared" si="8"/>
        <v>46422.29</v>
      </c>
      <c r="N14" s="8">
        <f t="shared" si="8"/>
        <v>48825.71</v>
      </c>
      <c r="O14" s="8">
        <f t="shared" si="8"/>
        <v>158530.14000000001</v>
      </c>
      <c r="P14" s="8">
        <f t="shared" si="8"/>
        <v>6381.43</v>
      </c>
      <c r="Q14" s="8">
        <f t="shared" si="8"/>
        <v>17888.86</v>
      </c>
      <c r="R14" s="8">
        <f t="shared" si="8"/>
        <v>104599.93</v>
      </c>
      <c r="S14" s="8">
        <f t="shared" si="8"/>
        <v>33642.79</v>
      </c>
      <c r="T14" s="8">
        <f t="shared" si="1"/>
        <v>1258726.28</v>
      </c>
      <c r="U14" s="7"/>
    </row>
    <row r="15" spans="1:21" ht="22.5">
      <c r="A15" s="5" t="s">
        <v>43</v>
      </c>
      <c r="B15" s="6" t="s">
        <v>190</v>
      </c>
      <c r="C15" s="6" t="s">
        <v>27</v>
      </c>
      <c r="D15" s="7" t="s">
        <v>42</v>
      </c>
      <c r="E15" s="8">
        <f>ROUND(E30/0.07*0.005,2)</f>
        <v>148626.43</v>
      </c>
      <c r="F15" s="8">
        <f t="shared" ref="F15:S15" si="9">ROUND(F30/0.07*0.005,2)</f>
        <v>92934.71</v>
      </c>
      <c r="G15" s="8">
        <f t="shared" si="9"/>
        <v>97417</v>
      </c>
      <c r="H15" s="8">
        <f t="shared" si="9"/>
        <v>97560.57</v>
      </c>
      <c r="I15" s="8">
        <f t="shared" si="9"/>
        <v>221572.36</v>
      </c>
      <c r="J15" s="8">
        <f t="shared" si="9"/>
        <v>70601.710000000006</v>
      </c>
      <c r="K15" s="8">
        <f t="shared" si="9"/>
        <v>61264.71</v>
      </c>
      <c r="L15" s="8">
        <f t="shared" si="9"/>
        <v>52457.64</v>
      </c>
      <c r="M15" s="8">
        <f t="shared" si="9"/>
        <v>46422.29</v>
      </c>
      <c r="N15" s="8">
        <f t="shared" si="9"/>
        <v>48825.71</v>
      </c>
      <c r="O15" s="8">
        <f t="shared" si="9"/>
        <v>158530.14000000001</v>
      </c>
      <c r="P15" s="8">
        <f t="shared" si="9"/>
        <v>6381.43</v>
      </c>
      <c r="Q15" s="8">
        <f t="shared" si="9"/>
        <v>17888.86</v>
      </c>
      <c r="R15" s="8">
        <f t="shared" si="9"/>
        <v>104599.93</v>
      </c>
      <c r="S15" s="8">
        <f t="shared" si="9"/>
        <v>33642.79</v>
      </c>
      <c r="T15" s="8">
        <f t="shared" si="1"/>
        <v>1258726.28</v>
      </c>
      <c r="U15" s="7"/>
    </row>
    <row r="16" spans="1:21">
      <c r="A16" s="5" t="s">
        <v>44</v>
      </c>
      <c r="B16" s="6" t="s">
        <v>45</v>
      </c>
      <c r="C16" s="6"/>
      <c r="D16" s="7" t="s">
        <v>20</v>
      </c>
      <c r="E16" s="8">
        <f>E17+E18+E19+E20</f>
        <v>22194196</v>
      </c>
      <c r="F16" s="8">
        <f t="shared" ref="F16:S16" si="10">F17+F18+F19+F20</f>
        <v>13894772</v>
      </c>
      <c r="G16" s="8">
        <f t="shared" si="10"/>
        <v>14456500</v>
      </c>
      <c r="H16" s="8">
        <f t="shared" si="10"/>
        <v>15961336</v>
      </c>
      <c r="I16" s="8">
        <f t="shared" si="10"/>
        <v>36030088</v>
      </c>
      <c r="J16" s="8">
        <f t="shared" si="10"/>
        <v>11393992</v>
      </c>
      <c r="K16" s="8">
        <f t="shared" si="10"/>
        <v>8935004</v>
      </c>
      <c r="L16" s="8">
        <f t="shared" si="10"/>
        <v>7960640</v>
      </c>
      <c r="M16" s="8">
        <f t="shared" si="10"/>
        <v>7385344</v>
      </c>
      <c r="N16" s="8">
        <f t="shared" si="10"/>
        <v>7431548</v>
      </c>
      <c r="O16" s="8">
        <f t="shared" si="10"/>
        <v>25542760</v>
      </c>
      <c r="P16" s="8">
        <f t="shared" si="10"/>
        <v>1038000</v>
      </c>
      <c r="Q16" s="8">
        <f t="shared" si="10"/>
        <v>3060456</v>
      </c>
      <c r="R16" s="8">
        <f t="shared" si="10"/>
        <v>18188396</v>
      </c>
      <c r="S16" s="8">
        <f t="shared" si="10"/>
        <v>5353036</v>
      </c>
      <c r="T16" s="8">
        <f t="shared" si="1"/>
        <v>198826068</v>
      </c>
      <c r="U16" s="7"/>
    </row>
    <row r="17" spans="1:21" ht="22.5">
      <c r="A17" s="5" t="s">
        <v>46</v>
      </c>
      <c r="B17" s="6" t="s">
        <v>47</v>
      </c>
      <c r="C17" s="6" t="s">
        <v>27</v>
      </c>
      <c r="D17" s="7" t="s">
        <v>191</v>
      </c>
      <c r="E17" s="9">
        <v>19795000</v>
      </c>
      <c r="F17" s="9">
        <v>12524500</v>
      </c>
      <c r="G17" s="9">
        <v>12672000</v>
      </c>
      <c r="H17" s="9">
        <v>14326400</v>
      </c>
      <c r="I17" s="9">
        <v>32384000</v>
      </c>
      <c r="J17" s="9">
        <v>10208000</v>
      </c>
      <c r="K17" s="9">
        <v>8372000</v>
      </c>
      <c r="L17" s="9">
        <v>7406000</v>
      </c>
      <c r="M17" s="9">
        <v>6923000</v>
      </c>
      <c r="N17" s="9">
        <v>6923000</v>
      </c>
      <c r="O17" s="9">
        <v>22932000</v>
      </c>
      <c r="P17" s="9">
        <v>1008000</v>
      </c>
      <c r="Q17" s="9">
        <v>2737000</v>
      </c>
      <c r="R17" s="9">
        <v>16465000</v>
      </c>
      <c r="S17" s="9">
        <v>4942700</v>
      </c>
      <c r="T17" s="8">
        <f t="shared" si="1"/>
        <v>179618600</v>
      </c>
      <c r="U17" s="7"/>
    </row>
    <row r="18" spans="1:21" ht="33.75">
      <c r="A18" s="5" t="s">
        <v>48</v>
      </c>
      <c r="B18" s="6" t="s">
        <v>49</v>
      </c>
      <c r="C18" s="6" t="s">
        <v>27</v>
      </c>
      <c r="D18" s="7" t="s">
        <v>50</v>
      </c>
      <c r="E18" s="9">
        <f>19818*12+10000+100000+15115*12+10000+100000</f>
        <v>639196</v>
      </c>
      <c r="F18" s="9">
        <f>13856*12+10000+90000</f>
        <v>266272</v>
      </c>
      <c r="G18" s="9">
        <f>18078*12+10000+90000+15297*12+10000+90000</f>
        <v>600500</v>
      </c>
      <c r="H18" s="9">
        <f>18078*12+10000+80000</f>
        <v>306936</v>
      </c>
      <c r="I18" s="9">
        <f>17284*12+10000+80000+21890*12+10000+100000</f>
        <v>670088</v>
      </c>
      <c r="J18" s="9">
        <f>12666*12+10000+80000</f>
        <v>241992</v>
      </c>
      <c r="K18" s="9">
        <f>12417*12+10000+80000</f>
        <v>239004</v>
      </c>
      <c r="L18" s="9">
        <f>15220*12+10000+80000</f>
        <v>272640</v>
      </c>
      <c r="M18" s="9">
        <f>12362*12+10000+40000</f>
        <v>198344</v>
      </c>
      <c r="N18" s="9">
        <f>12879*12+10000+80000</f>
        <v>244548</v>
      </c>
      <c r="O18" s="9">
        <f>(15115*12+10000+90000)*2</f>
        <v>562760</v>
      </c>
      <c r="P18" s="9"/>
      <c r="Q18" s="9">
        <f>11288*12+10000+70000</f>
        <v>215456</v>
      </c>
      <c r="R18" s="9">
        <f>15283*12+10000+90000</f>
        <v>283396</v>
      </c>
      <c r="S18" s="9">
        <f>11528*12+10000+70000</f>
        <v>218336</v>
      </c>
      <c r="T18" s="8">
        <f t="shared" si="1"/>
        <v>4959468</v>
      </c>
      <c r="U18" s="7"/>
    </row>
    <row r="19" spans="1:21">
      <c r="A19" s="5" t="s">
        <v>51</v>
      </c>
      <c r="B19" s="6" t="s">
        <v>192</v>
      </c>
      <c r="C19" s="6" t="s">
        <v>27</v>
      </c>
      <c r="D19" s="7" t="s">
        <v>20</v>
      </c>
      <c r="E19" s="8">
        <f>E62*500*12</f>
        <v>660000</v>
      </c>
      <c r="F19" s="8">
        <f t="shared" ref="F19:S19" si="11">F62*500*12</f>
        <v>414000</v>
      </c>
      <c r="G19" s="8">
        <f t="shared" si="11"/>
        <v>444000</v>
      </c>
      <c r="H19" s="8">
        <f t="shared" si="11"/>
        <v>498000</v>
      </c>
      <c r="I19" s="8">
        <f t="shared" si="11"/>
        <v>1116000</v>
      </c>
      <c r="J19" s="8">
        <f t="shared" si="11"/>
        <v>354000</v>
      </c>
      <c r="K19" s="8">
        <f t="shared" si="11"/>
        <v>324000</v>
      </c>
      <c r="L19" s="8">
        <f t="shared" si="11"/>
        <v>282000</v>
      </c>
      <c r="M19" s="8">
        <f t="shared" si="11"/>
        <v>264000</v>
      </c>
      <c r="N19" s="8">
        <f t="shared" si="11"/>
        <v>264000</v>
      </c>
      <c r="O19" s="8">
        <f t="shared" si="11"/>
        <v>768000</v>
      </c>
      <c r="P19" s="8">
        <f t="shared" si="11"/>
        <v>30000</v>
      </c>
      <c r="Q19" s="8">
        <f t="shared" si="11"/>
        <v>108000</v>
      </c>
      <c r="R19" s="8">
        <f t="shared" si="11"/>
        <v>540000</v>
      </c>
      <c r="S19" s="8">
        <f t="shared" si="11"/>
        <v>192000</v>
      </c>
      <c r="T19" s="8">
        <f t="shared" si="1"/>
        <v>6258000</v>
      </c>
      <c r="U19" s="7"/>
    </row>
    <row r="20" spans="1:21" ht="22.5">
      <c r="A20" s="5" t="s">
        <v>52</v>
      </c>
      <c r="B20" s="6" t="s">
        <v>193</v>
      </c>
      <c r="C20" s="6" t="s">
        <v>27</v>
      </c>
      <c r="D20" s="7" t="s">
        <v>28</v>
      </c>
      <c r="E20" s="9">
        <f>E62*10000</f>
        <v>1100000</v>
      </c>
      <c r="F20" s="9">
        <f t="shared" ref="F20:R20" si="12">F62*10000</f>
        <v>690000</v>
      </c>
      <c r="G20" s="9">
        <f t="shared" si="12"/>
        <v>740000</v>
      </c>
      <c r="H20" s="9">
        <f t="shared" si="12"/>
        <v>830000</v>
      </c>
      <c r="I20" s="9">
        <f t="shared" si="12"/>
        <v>1860000</v>
      </c>
      <c r="J20" s="9">
        <f t="shared" si="12"/>
        <v>590000</v>
      </c>
      <c r="K20" s="9"/>
      <c r="L20" s="9"/>
      <c r="M20" s="9"/>
      <c r="N20" s="9"/>
      <c r="O20" s="9">
        <f t="shared" si="12"/>
        <v>1280000</v>
      </c>
      <c r="P20" s="9"/>
      <c r="Q20" s="9"/>
      <c r="R20" s="9">
        <f t="shared" si="12"/>
        <v>900000</v>
      </c>
      <c r="S20" s="9"/>
      <c r="T20" s="8">
        <f t="shared" si="1"/>
        <v>7990000</v>
      </c>
      <c r="U20" s="7"/>
    </row>
    <row r="21" spans="1:21">
      <c r="A21" s="5" t="s">
        <v>53</v>
      </c>
      <c r="B21" s="6" t="s">
        <v>54</v>
      </c>
      <c r="C21" s="6"/>
      <c r="D21" s="7" t="s">
        <v>20</v>
      </c>
      <c r="E21" s="8">
        <f>E22+E23</f>
        <v>3864287.13</v>
      </c>
      <c r="F21" s="8">
        <f t="shared" ref="F21:S21" si="13">F22+F23</f>
        <v>2416302.58</v>
      </c>
      <c r="G21" s="8">
        <f t="shared" si="13"/>
        <v>2532842</v>
      </c>
      <c r="H21" s="8">
        <f t="shared" si="13"/>
        <v>2536574.87</v>
      </c>
      <c r="I21" s="8">
        <f t="shared" si="13"/>
        <v>5760881.29</v>
      </c>
      <c r="J21" s="8">
        <f t="shared" si="13"/>
        <v>1835644.58</v>
      </c>
      <c r="K21" s="8">
        <f t="shared" si="13"/>
        <v>1592882.58</v>
      </c>
      <c r="L21" s="8">
        <f t="shared" si="13"/>
        <v>1363898.71</v>
      </c>
      <c r="M21" s="8">
        <f t="shared" si="13"/>
        <v>1206979.42</v>
      </c>
      <c r="N21" s="8">
        <f t="shared" si="13"/>
        <v>1269468.58</v>
      </c>
      <c r="O21" s="8">
        <f t="shared" si="13"/>
        <v>4121783.71</v>
      </c>
      <c r="P21" s="8">
        <f t="shared" si="13"/>
        <v>165917.13</v>
      </c>
      <c r="Q21" s="8">
        <f t="shared" si="13"/>
        <v>465110.29</v>
      </c>
      <c r="R21" s="8">
        <f t="shared" si="13"/>
        <v>2719598.13</v>
      </c>
      <c r="S21" s="8">
        <f t="shared" si="13"/>
        <v>874712.42</v>
      </c>
      <c r="T21" s="8">
        <f t="shared" si="1"/>
        <v>32726883.420000002</v>
      </c>
      <c r="U21" s="7"/>
    </row>
    <row r="22" spans="1:21">
      <c r="A22" s="5" t="s">
        <v>55</v>
      </c>
      <c r="B22" s="6" t="s">
        <v>331</v>
      </c>
      <c r="C22" s="6" t="s">
        <v>56</v>
      </c>
      <c r="D22" s="7" t="s">
        <v>20</v>
      </c>
      <c r="E22" s="8">
        <f>ROUND(E30/0.07*0.09,2)</f>
        <v>2675275.71</v>
      </c>
      <c r="F22" s="8">
        <f t="shared" ref="F22:S22" si="14">ROUND(F30/0.07*0.09,2)</f>
        <v>1672824.86</v>
      </c>
      <c r="G22" s="8">
        <f t="shared" si="14"/>
        <v>1753506</v>
      </c>
      <c r="H22" s="8">
        <f t="shared" si="14"/>
        <v>1756090.29</v>
      </c>
      <c r="I22" s="8">
        <f t="shared" si="14"/>
        <v>3988302.43</v>
      </c>
      <c r="J22" s="8">
        <f t="shared" si="14"/>
        <v>1270830.8600000001</v>
      </c>
      <c r="K22" s="8">
        <f t="shared" si="14"/>
        <v>1102764.8600000001</v>
      </c>
      <c r="L22" s="8">
        <f t="shared" si="14"/>
        <v>944237.57</v>
      </c>
      <c r="M22" s="8">
        <f t="shared" si="14"/>
        <v>835601.14</v>
      </c>
      <c r="N22" s="8">
        <f t="shared" si="14"/>
        <v>878862.86</v>
      </c>
      <c r="O22" s="8">
        <f t="shared" si="14"/>
        <v>2853542.57</v>
      </c>
      <c r="P22" s="8">
        <f t="shared" si="14"/>
        <v>114865.71</v>
      </c>
      <c r="Q22" s="8">
        <f t="shared" si="14"/>
        <v>321999.43</v>
      </c>
      <c r="R22" s="8">
        <f t="shared" si="14"/>
        <v>1882798.71</v>
      </c>
      <c r="S22" s="8">
        <f t="shared" si="14"/>
        <v>605570.14</v>
      </c>
      <c r="T22" s="8">
        <f t="shared" si="1"/>
        <v>22657073.140000004</v>
      </c>
      <c r="U22" s="7"/>
    </row>
    <row r="23" spans="1:21" ht="22.5">
      <c r="A23" s="5" t="s">
        <v>57</v>
      </c>
      <c r="B23" s="6" t="s">
        <v>332</v>
      </c>
      <c r="C23" s="6" t="s">
        <v>56</v>
      </c>
      <c r="D23" s="7" t="s">
        <v>42</v>
      </c>
      <c r="E23" s="8">
        <f>E24+E25</f>
        <v>1189011.42</v>
      </c>
      <c r="F23" s="8">
        <f t="shared" ref="F23:S23" si="15">F24+F25</f>
        <v>743477.72</v>
      </c>
      <c r="G23" s="8">
        <f t="shared" si="15"/>
        <v>779336</v>
      </c>
      <c r="H23" s="8">
        <f t="shared" si="15"/>
        <v>780484.58</v>
      </c>
      <c r="I23" s="8">
        <f t="shared" si="15"/>
        <v>1772578.86</v>
      </c>
      <c r="J23" s="8">
        <f t="shared" si="15"/>
        <v>564813.72</v>
      </c>
      <c r="K23" s="8">
        <f t="shared" si="15"/>
        <v>490117.72</v>
      </c>
      <c r="L23" s="8">
        <f t="shared" si="15"/>
        <v>419661.14</v>
      </c>
      <c r="M23" s="8">
        <f t="shared" si="15"/>
        <v>371378.28</v>
      </c>
      <c r="N23" s="8">
        <f t="shared" si="15"/>
        <v>390605.72</v>
      </c>
      <c r="O23" s="8">
        <f t="shared" si="15"/>
        <v>1268241.1399999999</v>
      </c>
      <c r="P23" s="8">
        <f t="shared" si="15"/>
        <v>51051.42</v>
      </c>
      <c r="Q23" s="8">
        <f t="shared" si="15"/>
        <v>143110.85999999999</v>
      </c>
      <c r="R23" s="8">
        <f t="shared" si="15"/>
        <v>836799.42</v>
      </c>
      <c r="S23" s="8">
        <f t="shared" si="15"/>
        <v>269142.28000000003</v>
      </c>
      <c r="T23" s="8">
        <f t="shared" si="1"/>
        <v>10069810.279999997</v>
      </c>
      <c r="U23" s="7"/>
    </row>
    <row r="24" spans="1:21" ht="22.5">
      <c r="A24" s="5" t="s">
        <v>58</v>
      </c>
      <c r="B24" s="6" t="s">
        <v>333</v>
      </c>
      <c r="C24" s="6" t="s">
        <v>56</v>
      </c>
      <c r="D24" s="7" t="s">
        <v>42</v>
      </c>
      <c r="E24" s="8">
        <f>ROUND(E30/0.07*0.02,2)</f>
        <v>594505.71</v>
      </c>
      <c r="F24" s="8">
        <f t="shared" ref="F24:S24" si="16">ROUND(F30/0.07*0.02,2)</f>
        <v>371738.86</v>
      </c>
      <c r="G24" s="8">
        <f t="shared" si="16"/>
        <v>389668</v>
      </c>
      <c r="H24" s="8">
        <f t="shared" si="16"/>
        <v>390242.29</v>
      </c>
      <c r="I24" s="8">
        <f t="shared" si="16"/>
        <v>886289.43</v>
      </c>
      <c r="J24" s="8">
        <f t="shared" si="16"/>
        <v>282406.86</v>
      </c>
      <c r="K24" s="8">
        <f t="shared" si="16"/>
        <v>245058.86</v>
      </c>
      <c r="L24" s="8">
        <f t="shared" si="16"/>
        <v>209830.57</v>
      </c>
      <c r="M24" s="8">
        <f t="shared" si="16"/>
        <v>185689.14</v>
      </c>
      <c r="N24" s="8">
        <f t="shared" si="16"/>
        <v>195302.86</v>
      </c>
      <c r="O24" s="8">
        <f t="shared" si="16"/>
        <v>634120.56999999995</v>
      </c>
      <c r="P24" s="8">
        <f t="shared" si="16"/>
        <v>25525.71</v>
      </c>
      <c r="Q24" s="8">
        <f t="shared" si="16"/>
        <v>71555.429999999993</v>
      </c>
      <c r="R24" s="8">
        <f t="shared" si="16"/>
        <v>418399.71</v>
      </c>
      <c r="S24" s="8">
        <f t="shared" si="16"/>
        <v>134571.14000000001</v>
      </c>
      <c r="T24" s="8">
        <f t="shared" si="1"/>
        <v>5034905.1399999987</v>
      </c>
      <c r="U24" s="7"/>
    </row>
    <row r="25" spans="1:21" ht="22.5">
      <c r="A25" s="5" t="s">
        <v>59</v>
      </c>
      <c r="B25" s="6" t="s">
        <v>334</v>
      </c>
      <c r="C25" s="6" t="s">
        <v>56</v>
      </c>
      <c r="D25" s="7" t="s">
        <v>42</v>
      </c>
      <c r="E25" s="8">
        <f>ROUND(E30/0.07*0.02,2)</f>
        <v>594505.71</v>
      </c>
      <c r="F25" s="8">
        <f t="shared" ref="F25:S25" si="17">ROUND(F30/0.07*0.02,2)</f>
        <v>371738.86</v>
      </c>
      <c r="G25" s="8">
        <f t="shared" si="17"/>
        <v>389668</v>
      </c>
      <c r="H25" s="8">
        <f t="shared" si="17"/>
        <v>390242.29</v>
      </c>
      <c r="I25" s="8">
        <f t="shared" si="17"/>
        <v>886289.43</v>
      </c>
      <c r="J25" s="8">
        <f t="shared" si="17"/>
        <v>282406.86</v>
      </c>
      <c r="K25" s="8">
        <f t="shared" si="17"/>
        <v>245058.86</v>
      </c>
      <c r="L25" s="8">
        <f t="shared" si="17"/>
        <v>209830.57</v>
      </c>
      <c r="M25" s="8">
        <f t="shared" si="17"/>
        <v>185689.14</v>
      </c>
      <c r="N25" s="8">
        <f t="shared" si="17"/>
        <v>195302.86</v>
      </c>
      <c r="O25" s="8">
        <f t="shared" si="17"/>
        <v>634120.56999999995</v>
      </c>
      <c r="P25" s="8">
        <f t="shared" si="17"/>
        <v>25525.71</v>
      </c>
      <c r="Q25" s="8">
        <f t="shared" si="17"/>
        <v>71555.429999999993</v>
      </c>
      <c r="R25" s="8">
        <f t="shared" si="17"/>
        <v>418399.71</v>
      </c>
      <c r="S25" s="8">
        <f t="shared" si="17"/>
        <v>134571.14000000001</v>
      </c>
      <c r="T25" s="8">
        <f t="shared" si="1"/>
        <v>5034905.1399999987</v>
      </c>
      <c r="U25" s="7"/>
    </row>
    <row r="26" spans="1:21">
      <c r="A26" s="5" t="s">
        <v>60</v>
      </c>
      <c r="B26" s="6" t="s">
        <v>61</v>
      </c>
      <c r="C26" s="6"/>
      <c r="D26" s="7" t="s">
        <v>20</v>
      </c>
      <c r="E26" s="8">
        <f t="shared" ref="E26:S26" si="18">E27</f>
        <v>4756045.71</v>
      </c>
      <c r="F26" s="8">
        <f t="shared" si="18"/>
        <v>2973910.86</v>
      </c>
      <c r="G26" s="8">
        <f t="shared" si="18"/>
        <v>3117344</v>
      </c>
      <c r="H26" s="8">
        <f t="shared" si="18"/>
        <v>3121938.29</v>
      </c>
      <c r="I26" s="8">
        <f t="shared" si="18"/>
        <v>7090315.4299999997</v>
      </c>
      <c r="J26" s="8">
        <f t="shared" si="18"/>
        <v>2259254.86</v>
      </c>
      <c r="K26" s="8">
        <f t="shared" si="18"/>
        <v>1960470.86</v>
      </c>
      <c r="L26" s="8">
        <f t="shared" si="18"/>
        <v>1678644.57</v>
      </c>
      <c r="M26" s="8">
        <f t="shared" si="18"/>
        <v>1485513.14</v>
      </c>
      <c r="N26" s="8">
        <f t="shared" si="18"/>
        <v>1562422.86</v>
      </c>
      <c r="O26" s="8">
        <f t="shared" si="18"/>
        <v>5072964.57</v>
      </c>
      <c r="P26" s="8">
        <f t="shared" si="18"/>
        <v>204205.71</v>
      </c>
      <c r="Q26" s="8">
        <f t="shared" si="18"/>
        <v>572443.43000000005</v>
      </c>
      <c r="R26" s="8">
        <f t="shared" si="18"/>
        <v>3347197.71</v>
      </c>
      <c r="S26" s="8">
        <f t="shared" si="18"/>
        <v>1076569.1399999999</v>
      </c>
      <c r="T26" s="8">
        <f t="shared" si="1"/>
        <v>40279241.140000001</v>
      </c>
      <c r="U26" s="7"/>
    </row>
    <row r="27" spans="1:21" ht="22.5">
      <c r="A27" s="5" t="s">
        <v>62</v>
      </c>
      <c r="B27" s="6" t="s">
        <v>194</v>
      </c>
      <c r="C27" s="6" t="s">
        <v>63</v>
      </c>
      <c r="D27" s="7" t="s">
        <v>42</v>
      </c>
      <c r="E27" s="8">
        <f>ROUND(E30/0.07*0.16,2)</f>
        <v>4756045.71</v>
      </c>
      <c r="F27" s="8">
        <f t="shared" ref="F27:S27" si="19">ROUND(F30/0.07*0.16,2)</f>
        <v>2973910.86</v>
      </c>
      <c r="G27" s="8">
        <f t="shared" si="19"/>
        <v>3117344</v>
      </c>
      <c r="H27" s="8">
        <f t="shared" si="19"/>
        <v>3121938.29</v>
      </c>
      <c r="I27" s="8">
        <f t="shared" si="19"/>
        <v>7090315.4299999997</v>
      </c>
      <c r="J27" s="8">
        <f t="shared" si="19"/>
        <v>2259254.86</v>
      </c>
      <c r="K27" s="8">
        <f t="shared" si="19"/>
        <v>1960470.86</v>
      </c>
      <c r="L27" s="8">
        <f t="shared" si="19"/>
        <v>1678644.57</v>
      </c>
      <c r="M27" s="8">
        <f t="shared" si="19"/>
        <v>1485513.14</v>
      </c>
      <c r="N27" s="8">
        <f t="shared" si="19"/>
        <v>1562422.86</v>
      </c>
      <c r="O27" s="8">
        <f t="shared" si="19"/>
        <v>5072964.57</v>
      </c>
      <c r="P27" s="8">
        <f t="shared" si="19"/>
        <v>204205.71</v>
      </c>
      <c r="Q27" s="8">
        <f t="shared" si="19"/>
        <v>572443.43000000005</v>
      </c>
      <c r="R27" s="8">
        <f t="shared" si="19"/>
        <v>3347197.71</v>
      </c>
      <c r="S27" s="8">
        <f t="shared" si="19"/>
        <v>1076569.1399999999</v>
      </c>
      <c r="T27" s="8">
        <f t="shared" si="1"/>
        <v>40279241.140000001</v>
      </c>
      <c r="U27" s="7"/>
    </row>
    <row r="28" spans="1:21">
      <c r="A28" s="5" t="s">
        <v>64</v>
      </c>
      <c r="B28" s="6" t="s">
        <v>65</v>
      </c>
      <c r="C28" s="6"/>
      <c r="D28" s="7" t="s">
        <v>20</v>
      </c>
      <c r="E28" s="8">
        <f t="shared" ref="E28:S28" si="20">E29</f>
        <v>2378022.86</v>
      </c>
      <c r="F28" s="8">
        <f t="shared" si="20"/>
        <v>1486955.43</v>
      </c>
      <c r="G28" s="8">
        <f t="shared" si="20"/>
        <v>1558672</v>
      </c>
      <c r="H28" s="8">
        <f t="shared" si="20"/>
        <v>1560969.14</v>
      </c>
      <c r="I28" s="8">
        <f t="shared" si="20"/>
        <v>3545157.71</v>
      </c>
      <c r="J28" s="8">
        <f t="shared" si="20"/>
        <v>1129627.43</v>
      </c>
      <c r="K28" s="8">
        <f t="shared" si="20"/>
        <v>980235.43</v>
      </c>
      <c r="L28" s="8">
        <f t="shared" si="20"/>
        <v>839322.29</v>
      </c>
      <c r="M28" s="8">
        <f t="shared" si="20"/>
        <v>742756.57</v>
      </c>
      <c r="N28" s="8">
        <f t="shared" si="20"/>
        <v>781211.43</v>
      </c>
      <c r="O28" s="8">
        <f t="shared" si="20"/>
        <v>2536482.29</v>
      </c>
      <c r="P28" s="8">
        <f t="shared" si="20"/>
        <v>102102.86</v>
      </c>
      <c r="Q28" s="8">
        <f t="shared" si="20"/>
        <v>286221.71000000002</v>
      </c>
      <c r="R28" s="8">
        <f t="shared" si="20"/>
        <v>1673598.86</v>
      </c>
      <c r="S28" s="8">
        <f t="shared" si="20"/>
        <v>538284.56999999995</v>
      </c>
      <c r="T28" s="8">
        <f t="shared" si="1"/>
        <v>20139620.579999998</v>
      </c>
      <c r="U28" s="7"/>
    </row>
    <row r="29" spans="1:21" ht="22.5">
      <c r="A29" s="5" t="s">
        <v>66</v>
      </c>
      <c r="B29" s="6" t="s">
        <v>67</v>
      </c>
      <c r="C29" s="6" t="s">
        <v>68</v>
      </c>
      <c r="D29" s="7" t="s">
        <v>42</v>
      </c>
      <c r="E29" s="8">
        <f>ROUND(E30/0.07*0.08,2)</f>
        <v>2378022.86</v>
      </c>
      <c r="F29" s="8">
        <f t="shared" ref="F29:S29" si="21">ROUND(F30/0.07*0.08,2)</f>
        <v>1486955.43</v>
      </c>
      <c r="G29" s="8">
        <f t="shared" si="21"/>
        <v>1558672</v>
      </c>
      <c r="H29" s="8">
        <f t="shared" si="21"/>
        <v>1560969.14</v>
      </c>
      <c r="I29" s="8">
        <f t="shared" si="21"/>
        <v>3545157.71</v>
      </c>
      <c r="J29" s="8">
        <f t="shared" si="21"/>
        <v>1129627.43</v>
      </c>
      <c r="K29" s="8">
        <f t="shared" si="21"/>
        <v>980235.43</v>
      </c>
      <c r="L29" s="8">
        <f t="shared" si="21"/>
        <v>839322.29</v>
      </c>
      <c r="M29" s="8">
        <f t="shared" si="21"/>
        <v>742756.57</v>
      </c>
      <c r="N29" s="8">
        <f t="shared" si="21"/>
        <v>781211.43</v>
      </c>
      <c r="O29" s="8">
        <f t="shared" si="21"/>
        <v>2536482.29</v>
      </c>
      <c r="P29" s="8">
        <f t="shared" si="21"/>
        <v>102102.86</v>
      </c>
      <c r="Q29" s="8">
        <f t="shared" si="21"/>
        <v>286221.71000000002</v>
      </c>
      <c r="R29" s="8">
        <f t="shared" si="21"/>
        <v>1673598.86</v>
      </c>
      <c r="S29" s="8">
        <f t="shared" si="21"/>
        <v>538284.56999999995</v>
      </c>
      <c r="T29" s="8">
        <f t="shared" si="1"/>
        <v>20139620.579999998</v>
      </c>
      <c r="U29" s="7"/>
    </row>
    <row r="30" spans="1:21" ht="22.5">
      <c r="A30" s="5" t="s">
        <v>69</v>
      </c>
      <c r="B30" s="6" t="s">
        <v>335</v>
      </c>
      <c r="C30" s="6" t="s">
        <v>70</v>
      </c>
      <c r="D30" s="7" t="s">
        <v>28</v>
      </c>
      <c r="E30" s="9">
        <v>2080770</v>
      </c>
      <c r="F30" s="9">
        <v>1301086</v>
      </c>
      <c r="G30" s="9">
        <v>1363838</v>
      </c>
      <c r="H30" s="9">
        <v>1365848</v>
      </c>
      <c r="I30" s="9">
        <v>3102013</v>
      </c>
      <c r="J30" s="9">
        <v>988424</v>
      </c>
      <c r="K30" s="9">
        <v>857706</v>
      </c>
      <c r="L30" s="9">
        <v>734407</v>
      </c>
      <c r="M30" s="9">
        <v>649912</v>
      </c>
      <c r="N30" s="9">
        <v>683560</v>
      </c>
      <c r="O30" s="9">
        <v>2219422</v>
      </c>
      <c r="P30" s="9">
        <v>89340</v>
      </c>
      <c r="Q30" s="9">
        <v>250444</v>
      </c>
      <c r="R30" s="9">
        <f>1464399</f>
        <v>1464399</v>
      </c>
      <c r="S30" s="9">
        <v>470999</v>
      </c>
      <c r="T30" s="8">
        <f t="shared" si="1"/>
        <v>17622168</v>
      </c>
      <c r="U30" s="7"/>
    </row>
    <row r="31" spans="1:21">
      <c r="A31" s="5" t="s">
        <v>71</v>
      </c>
      <c r="B31" s="6" t="s">
        <v>195</v>
      </c>
      <c r="C31" s="6" t="s">
        <v>27</v>
      </c>
      <c r="D31" s="7" t="s">
        <v>196</v>
      </c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8">
        <f t="shared" si="1"/>
        <v>0</v>
      </c>
      <c r="U31" s="7"/>
    </row>
    <row r="32" spans="1:21">
      <c r="A32" s="5" t="s">
        <v>72</v>
      </c>
      <c r="B32" s="6" t="s">
        <v>73</v>
      </c>
      <c r="C32" s="6"/>
      <c r="D32" s="7" t="s">
        <v>20</v>
      </c>
      <c r="E32" s="8">
        <f>E33+E35+E37</f>
        <v>1778360</v>
      </c>
      <c r="F32" s="8">
        <f t="shared" ref="F32:S32" si="22">F33+F35+F37</f>
        <v>1099250</v>
      </c>
      <c r="G32" s="8">
        <f t="shared" si="22"/>
        <v>1360390</v>
      </c>
      <c r="H32" s="8">
        <f t="shared" si="22"/>
        <v>915940</v>
      </c>
      <c r="I32" s="8">
        <f t="shared" si="22"/>
        <v>424925</v>
      </c>
      <c r="J32" s="8">
        <f t="shared" si="22"/>
        <v>1800</v>
      </c>
      <c r="K32" s="8">
        <f t="shared" si="22"/>
        <v>216426</v>
      </c>
      <c r="L32" s="8">
        <f t="shared" si="22"/>
        <v>349900</v>
      </c>
      <c r="M32" s="8">
        <f t="shared" si="22"/>
        <v>99300</v>
      </c>
      <c r="N32" s="8">
        <f t="shared" si="22"/>
        <v>16260</v>
      </c>
      <c r="O32" s="8">
        <f t="shared" si="22"/>
        <v>87470</v>
      </c>
      <c r="P32" s="8">
        <f t="shared" si="22"/>
        <v>78900</v>
      </c>
      <c r="Q32" s="8">
        <f t="shared" si="22"/>
        <v>0</v>
      </c>
      <c r="R32" s="8">
        <f t="shared" si="22"/>
        <v>82540</v>
      </c>
      <c r="S32" s="8">
        <f t="shared" si="22"/>
        <v>187380</v>
      </c>
      <c r="T32" s="8">
        <f t="shared" si="1"/>
        <v>6698841</v>
      </c>
      <c r="U32" s="7"/>
    </row>
    <row r="33" spans="1:21" ht="33.75">
      <c r="A33" s="5" t="s">
        <v>74</v>
      </c>
      <c r="B33" s="6" t="s">
        <v>197</v>
      </c>
      <c r="C33" s="6" t="s">
        <v>75</v>
      </c>
      <c r="D33" s="7" t="s">
        <v>198</v>
      </c>
      <c r="E33" s="8">
        <f>E34</f>
        <v>1776200</v>
      </c>
      <c r="F33" s="8">
        <f t="shared" ref="F33:S33" si="23">F34</f>
        <v>1096730</v>
      </c>
      <c r="G33" s="8">
        <f t="shared" si="23"/>
        <v>1358230</v>
      </c>
      <c r="H33" s="8">
        <f t="shared" si="23"/>
        <v>913780</v>
      </c>
      <c r="I33" s="8">
        <f t="shared" si="23"/>
        <v>420245</v>
      </c>
      <c r="J33" s="8">
        <f t="shared" si="23"/>
        <v>0</v>
      </c>
      <c r="K33" s="8">
        <f t="shared" si="23"/>
        <v>213186</v>
      </c>
      <c r="L33" s="8">
        <f t="shared" si="23"/>
        <v>347020</v>
      </c>
      <c r="M33" s="8">
        <f t="shared" si="23"/>
        <v>95340</v>
      </c>
      <c r="N33" s="8">
        <f t="shared" si="23"/>
        <v>13020</v>
      </c>
      <c r="O33" s="8">
        <f t="shared" si="23"/>
        <v>84230</v>
      </c>
      <c r="P33" s="8">
        <f t="shared" si="23"/>
        <v>78900</v>
      </c>
      <c r="Q33" s="8">
        <f t="shared" si="23"/>
        <v>0</v>
      </c>
      <c r="R33" s="8">
        <f t="shared" si="23"/>
        <v>79300</v>
      </c>
      <c r="S33" s="8">
        <f t="shared" si="23"/>
        <v>186300</v>
      </c>
      <c r="T33" s="8">
        <f t="shared" si="1"/>
        <v>6662481</v>
      </c>
      <c r="U33" s="7"/>
    </row>
    <row r="34" spans="1:21" ht="33.75">
      <c r="A34" s="5" t="s">
        <v>76</v>
      </c>
      <c r="B34" s="6" t="s">
        <v>199</v>
      </c>
      <c r="C34" s="6" t="s">
        <v>75</v>
      </c>
      <c r="D34" s="7" t="s">
        <v>198</v>
      </c>
      <c r="E34" s="9">
        <v>1776200</v>
      </c>
      <c r="F34" s="9">
        <v>1096730</v>
      </c>
      <c r="G34" s="9">
        <v>1358230</v>
      </c>
      <c r="H34" s="9">
        <v>913780</v>
      </c>
      <c r="I34" s="9">
        <v>420245</v>
      </c>
      <c r="J34" s="9"/>
      <c r="K34" s="9">
        <v>213186</v>
      </c>
      <c r="L34" s="9">
        <v>347020</v>
      </c>
      <c r="M34" s="9">
        <v>95340</v>
      </c>
      <c r="N34" s="9">
        <v>13020</v>
      </c>
      <c r="O34" s="9">
        <v>84230</v>
      </c>
      <c r="P34" s="9">
        <v>78900</v>
      </c>
      <c r="Q34" s="9"/>
      <c r="R34" s="9">
        <f>79300</f>
        <v>79300</v>
      </c>
      <c r="S34" s="9">
        <v>186300</v>
      </c>
      <c r="T34" s="8">
        <f t="shared" si="1"/>
        <v>6662481</v>
      </c>
      <c r="U34" s="7"/>
    </row>
    <row r="35" spans="1:21">
      <c r="A35" s="5" t="s">
        <v>77</v>
      </c>
      <c r="B35" s="6" t="s">
        <v>78</v>
      </c>
      <c r="C35" s="6"/>
      <c r="D35" s="7" t="s">
        <v>20</v>
      </c>
      <c r="E35" s="8">
        <f>E36</f>
        <v>2160</v>
      </c>
      <c r="F35" s="8">
        <f t="shared" ref="F35:S35" si="24">F36</f>
        <v>2520</v>
      </c>
      <c r="G35" s="8">
        <f t="shared" si="24"/>
        <v>2160</v>
      </c>
      <c r="H35" s="8">
        <f t="shared" si="24"/>
        <v>2160</v>
      </c>
      <c r="I35" s="8">
        <f t="shared" si="24"/>
        <v>4680</v>
      </c>
      <c r="J35" s="8">
        <f t="shared" si="24"/>
        <v>1800</v>
      </c>
      <c r="K35" s="8">
        <f t="shared" si="24"/>
        <v>3240</v>
      </c>
      <c r="L35" s="8">
        <f t="shared" si="24"/>
        <v>2880</v>
      </c>
      <c r="M35" s="8">
        <f t="shared" si="24"/>
        <v>3960</v>
      </c>
      <c r="N35" s="8">
        <f t="shared" si="24"/>
        <v>3240</v>
      </c>
      <c r="O35" s="8">
        <f t="shared" si="24"/>
        <v>3240</v>
      </c>
      <c r="P35" s="8">
        <f t="shared" si="24"/>
        <v>0</v>
      </c>
      <c r="Q35" s="8">
        <f t="shared" si="24"/>
        <v>0</v>
      </c>
      <c r="R35" s="8">
        <f t="shared" si="24"/>
        <v>3240</v>
      </c>
      <c r="S35" s="8">
        <f t="shared" si="24"/>
        <v>1080</v>
      </c>
      <c r="T35" s="8">
        <f t="shared" si="1"/>
        <v>36360</v>
      </c>
      <c r="U35" s="7"/>
    </row>
    <row r="36" spans="1:21" ht="22.5">
      <c r="A36" s="5" t="s">
        <v>79</v>
      </c>
      <c r="B36" s="6" t="s">
        <v>80</v>
      </c>
      <c r="C36" s="6" t="s">
        <v>27</v>
      </c>
      <c r="D36" s="7" t="s">
        <v>28</v>
      </c>
      <c r="E36" s="9">
        <f>180*12</f>
        <v>2160</v>
      </c>
      <c r="F36" s="9">
        <f>210*12</f>
        <v>2520</v>
      </c>
      <c r="G36" s="9">
        <f>180*12</f>
        <v>2160</v>
      </c>
      <c r="H36" s="9">
        <f>180*12</f>
        <v>2160</v>
      </c>
      <c r="I36" s="9">
        <f>390*12</f>
        <v>4680</v>
      </c>
      <c r="J36" s="9">
        <f>150*12</f>
        <v>1800</v>
      </c>
      <c r="K36" s="9">
        <f>270*12</f>
        <v>3240</v>
      </c>
      <c r="L36" s="9">
        <f>240*12</f>
        <v>2880</v>
      </c>
      <c r="M36" s="9">
        <f>330*12</f>
        <v>3960</v>
      </c>
      <c r="N36" s="9">
        <f>270*12</f>
        <v>3240</v>
      </c>
      <c r="O36" s="9">
        <f>270*12</f>
        <v>3240</v>
      </c>
      <c r="P36" s="9"/>
      <c r="Q36" s="9"/>
      <c r="R36" s="9">
        <f>270*12</f>
        <v>3240</v>
      </c>
      <c r="S36" s="9">
        <f>90*12</f>
        <v>1080</v>
      </c>
      <c r="T36" s="8">
        <f t="shared" si="1"/>
        <v>36360</v>
      </c>
      <c r="U36" s="7"/>
    </row>
    <row r="37" spans="1:21">
      <c r="A37" s="5" t="s">
        <v>81</v>
      </c>
      <c r="B37" s="6" t="s">
        <v>82</v>
      </c>
      <c r="C37" s="6"/>
      <c r="D37" s="7" t="s">
        <v>20</v>
      </c>
      <c r="E37" s="8">
        <f>E38</f>
        <v>0</v>
      </c>
      <c r="F37" s="8">
        <f t="shared" ref="F37:S37" si="25">F38</f>
        <v>0</v>
      </c>
      <c r="G37" s="8">
        <f t="shared" si="25"/>
        <v>0</v>
      </c>
      <c r="H37" s="8">
        <f t="shared" si="25"/>
        <v>0</v>
      </c>
      <c r="I37" s="8">
        <f t="shared" si="25"/>
        <v>0</v>
      </c>
      <c r="J37" s="8">
        <f t="shared" si="25"/>
        <v>0</v>
      </c>
      <c r="K37" s="8">
        <f t="shared" si="25"/>
        <v>0</v>
      </c>
      <c r="L37" s="8">
        <f t="shared" si="25"/>
        <v>0</v>
      </c>
      <c r="M37" s="8">
        <f t="shared" si="25"/>
        <v>0</v>
      </c>
      <c r="N37" s="8">
        <f t="shared" si="25"/>
        <v>0</v>
      </c>
      <c r="O37" s="8">
        <f t="shared" si="25"/>
        <v>0</v>
      </c>
      <c r="P37" s="8">
        <f t="shared" si="25"/>
        <v>0</v>
      </c>
      <c r="Q37" s="8">
        <f t="shared" si="25"/>
        <v>0</v>
      </c>
      <c r="R37" s="8">
        <f t="shared" si="25"/>
        <v>0</v>
      </c>
      <c r="S37" s="8">
        <f t="shared" si="25"/>
        <v>0</v>
      </c>
      <c r="T37" s="8">
        <f t="shared" si="1"/>
        <v>0</v>
      </c>
      <c r="U37" s="7"/>
    </row>
    <row r="38" spans="1:21" ht="56.25">
      <c r="A38" s="5" t="s">
        <v>83</v>
      </c>
      <c r="B38" s="6" t="s">
        <v>200</v>
      </c>
      <c r="C38" s="6" t="s">
        <v>27</v>
      </c>
      <c r="D38" s="7" t="s">
        <v>84</v>
      </c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8">
        <f t="shared" si="1"/>
        <v>0</v>
      </c>
      <c r="U38" s="7"/>
    </row>
    <row r="39" spans="1:21">
      <c r="A39" s="5" t="s">
        <v>85</v>
      </c>
      <c r="B39" s="6" t="s">
        <v>86</v>
      </c>
      <c r="C39" s="6"/>
      <c r="D39" s="7" t="s">
        <v>20</v>
      </c>
      <c r="E39" s="8">
        <f>E40+E42+E44+E46+E48+E51+E53+E55+E59</f>
        <v>9124477.7100000009</v>
      </c>
      <c r="F39" s="8">
        <f t="shared" ref="F39:S39" si="26">F40+F42+F44+F46+F48+F51+F53+F55+F59</f>
        <v>5161244.8600000003</v>
      </c>
      <c r="G39" s="8">
        <f t="shared" si="26"/>
        <v>5312383</v>
      </c>
      <c r="H39" s="8">
        <f t="shared" si="26"/>
        <v>4795692.29</v>
      </c>
      <c r="I39" s="8">
        <f t="shared" si="26"/>
        <v>12344733.029999999</v>
      </c>
      <c r="J39" s="8">
        <f t="shared" si="26"/>
        <v>3876324.51</v>
      </c>
      <c r="K39" s="8">
        <f t="shared" si="26"/>
        <v>2591408.46</v>
      </c>
      <c r="L39" s="8">
        <f t="shared" si="26"/>
        <v>2927239.4699999997</v>
      </c>
      <c r="M39" s="8">
        <f t="shared" si="26"/>
        <v>2394546.89</v>
      </c>
      <c r="N39" s="8">
        <f t="shared" si="26"/>
        <v>2302636.66</v>
      </c>
      <c r="O39" s="8">
        <f t="shared" si="26"/>
        <v>8700903.9199999999</v>
      </c>
      <c r="P39" s="8">
        <f t="shared" si="26"/>
        <v>214505.71</v>
      </c>
      <c r="Q39" s="8">
        <f t="shared" si="26"/>
        <v>1123910.43</v>
      </c>
      <c r="R39" s="8">
        <f t="shared" si="26"/>
        <v>6879030.4100000001</v>
      </c>
      <c r="S39" s="8">
        <f t="shared" si="26"/>
        <v>1748027.94</v>
      </c>
      <c r="T39" s="8">
        <f t="shared" si="1"/>
        <v>69497065.289999992</v>
      </c>
      <c r="U39" s="7"/>
    </row>
    <row r="40" spans="1:21" ht="22.5">
      <c r="A40" s="5" t="s">
        <v>87</v>
      </c>
      <c r="B40" s="6" t="s">
        <v>88</v>
      </c>
      <c r="C40" s="6"/>
      <c r="D40" s="7" t="s">
        <v>89</v>
      </c>
      <c r="E40" s="9">
        <f>'[1]2026年中小学人数'!O9</f>
        <v>6826050</v>
      </c>
      <c r="F40" s="9">
        <f>'[1]2026年中小学人数'!O8</f>
        <v>3957800</v>
      </c>
      <c r="G40" s="9">
        <f>'[1]2026年中小学人数'!O5</f>
        <v>3900150</v>
      </c>
      <c r="H40" s="9">
        <f>'[1]2026年中小学人数'!O6</f>
        <v>3415440</v>
      </c>
      <c r="I40" s="9">
        <f>'[1]2026年中小学人数'!O3+'[1]2026年中小学人数'!O4</f>
        <v>9880380</v>
      </c>
      <c r="J40" s="9">
        <f>'[1]2026年中小学人数'!O7</f>
        <v>3049500</v>
      </c>
      <c r="K40" s="9">
        <f>'[1]2026年幼儿园人数'!I5+'[1]2026年幼儿园人数'!I6</f>
        <v>1736020</v>
      </c>
      <c r="L40" s="9">
        <f>'[1]2026年幼儿园人数'!I2+'[1]2026年幼儿园人数'!I3+'[1]2026年幼儿园人数'!I4</f>
        <v>2099240</v>
      </c>
      <c r="M40" s="9">
        <f>'[1]2026年幼儿园人数'!I7+'[1]2026年幼儿园人数'!I8</f>
        <v>1716000</v>
      </c>
      <c r="N40" s="9">
        <f>+'[1]2026年幼儿园人数'!I9+'[1]2026年幼儿园人数'!I10</f>
        <v>1701700</v>
      </c>
      <c r="O40" s="9">
        <f>'[1]2026年中小学人数'!M10</f>
        <v>7010750</v>
      </c>
      <c r="P40" s="9">
        <f>112000</f>
        <v>112000</v>
      </c>
      <c r="Q40" s="9">
        <f>'[1]2026年幼儿园人数'!I13</f>
        <v>858000</v>
      </c>
      <c r="R40" s="9">
        <f>'[1]2026年中小学人数'!M11+'[1]2026年中小学人数'!M12</f>
        <v>5717250</v>
      </c>
      <c r="S40" s="9">
        <f>'[1]2026年幼儿园人数'!I11+'[1]2026年幼儿园人数'!I12</f>
        <v>1287000</v>
      </c>
      <c r="T40" s="8">
        <f t="shared" si="1"/>
        <v>53267280</v>
      </c>
      <c r="U40" s="7"/>
    </row>
    <row r="41" spans="1:21">
      <c r="A41" s="5" t="s">
        <v>90</v>
      </c>
      <c r="B41" s="6" t="s">
        <v>201</v>
      </c>
      <c r="C41" s="6" t="s">
        <v>27</v>
      </c>
      <c r="D41" s="11" t="s">
        <v>202</v>
      </c>
      <c r="E41" s="9">
        <f>'[1]2026年中小学人数'!P9</f>
        <v>341302.5</v>
      </c>
      <c r="F41" s="9">
        <f>'[1]2026年中小学人数'!P8</f>
        <v>197890</v>
      </c>
      <c r="G41" s="9">
        <f>'[1]2026年中小学人数'!P5</f>
        <v>195007.5</v>
      </c>
      <c r="H41" s="9">
        <f>'[1]2026年中小学人数'!P6</f>
        <v>170772</v>
      </c>
      <c r="I41" s="9">
        <f>'[1]2026年中小学人数'!P3+'[1]2026年中小学人数'!P4</f>
        <v>494019</v>
      </c>
      <c r="J41" s="9">
        <f>'[1]2026年中小学人数'!P7</f>
        <v>152475</v>
      </c>
      <c r="K41" s="9">
        <f>'[1]2026年幼儿园人数'!J5+'[1]2026年幼儿园人数'!J6</f>
        <v>80080</v>
      </c>
      <c r="L41" s="9">
        <f>'[1]2026年幼儿园人数'!J2+'[1]2026年幼儿园人数'!J3+'[1]2026年幼儿园人数'!J4</f>
        <v>82654</v>
      </c>
      <c r="M41" s="9">
        <f>+'[1]2026年幼儿园人数'!J7+'[1]2026年幼儿园人数'!J8</f>
        <v>73359</v>
      </c>
      <c r="N41" s="9">
        <f>'[1]2026年幼儿园人数'!J9+'[1]2026年幼儿园人数'!J10</f>
        <v>75504</v>
      </c>
      <c r="O41" s="9">
        <f>'[1]2026年中小学人数'!P10</f>
        <v>350537.5</v>
      </c>
      <c r="P41" s="9">
        <f>P40*0.05</f>
        <v>5600</v>
      </c>
      <c r="Q41" s="9">
        <f>'[1]2026年幼儿园人数'!J13</f>
        <v>29315</v>
      </c>
      <c r="R41" s="9">
        <f>'[1]2026年中小学人数'!P11+'[1]2026年中小学人数'!P12</f>
        <v>285862.5</v>
      </c>
      <c r="S41" s="9">
        <f>'[1]2026年幼儿园人数'!J11+'[1]2026年幼儿园人数'!J12</f>
        <v>48763</v>
      </c>
      <c r="T41" s="8">
        <f t="shared" si="1"/>
        <v>2583141</v>
      </c>
      <c r="U41" s="7"/>
    </row>
    <row r="42" spans="1:21">
      <c r="A42" s="5" t="s">
        <v>91</v>
      </c>
      <c r="B42" s="6" t="s">
        <v>92</v>
      </c>
      <c r="C42" s="6"/>
      <c r="D42" s="7"/>
      <c r="E42" s="8">
        <f>E43</f>
        <v>44000</v>
      </c>
      <c r="F42" s="8">
        <f t="shared" ref="F42:N42" si="27">F43</f>
        <v>27600</v>
      </c>
      <c r="G42" s="8">
        <f t="shared" si="27"/>
        <v>29600</v>
      </c>
      <c r="H42" s="8">
        <f t="shared" si="27"/>
        <v>33200</v>
      </c>
      <c r="I42" s="8">
        <f t="shared" si="27"/>
        <v>74400</v>
      </c>
      <c r="J42" s="8">
        <f t="shared" si="27"/>
        <v>23600</v>
      </c>
      <c r="K42" s="8">
        <f t="shared" si="27"/>
        <v>21600</v>
      </c>
      <c r="L42" s="8">
        <f t="shared" si="27"/>
        <v>18800</v>
      </c>
      <c r="M42" s="8">
        <f t="shared" si="27"/>
        <v>17600</v>
      </c>
      <c r="N42" s="8">
        <f t="shared" si="27"/>
        <v>17600</v>
      </c>
      <c r="O42" s="8">
        <f>O43</f>
        <v>51200</v>
      </c>
      <c r="P42" s="8">
        <f>P43</f>
        <v>2000</v>
      </c>
      <c r="Q42" s="8">
        <f>Q43</f>
        <v>7200</v>
      </c>
      <c r="R42" s="8">
        <f>R43</f>
        <v>36000</v>
      </c>
      <c r="S42" s="8">
        <f>S43</f>
        <v>12800</v>
      </c>
      <c r="T42" s="8">
        <f t="shared" si="1"/>
        <v>417200</v>
      </c>
      <c r="U42" s="7"/>
    </row>
    <row r="43" spans="1:21" ht="33.75">
      <c r="A43" s="5" t="s">
        <v>93</v>
      </c>
      <c r="B43" s="6" t="s">
        <v>94</v>
      </c>
      <c r="C43" s="6" t="s">
        <v>27</v>
      </c>
      <c r="D43" s="11" t="s">
        <v>95</v>
      </c>
      <c r="E43" s="8">
        <f>E62*400</f>
        <v>44000</v>
      </c>
      <c r="F43" s="8">
        <f t="shared" ref="F43:S43" si="28">F62*400</f>
        <v>27600</v>
      </c>
      <c r="G43" s="8">
        <f t="shared" si="28"/>
        <v>29600</v>
      </c>
      <c r="H43" s="8">
        <f t="shared" si="28"/>
        <v>33200</v>
      </c>
      <c r="I43" s="8">
        <f t="shared" si="28"/>
        <v>74400</v>
      </c>
      <c r="J43" s="8">
        <f t="shared" si="28"/>
        <v>23600</v>
      </c>
      <c r="K43" s="8">
        <f t="shared" si="28"/>
        <v>21600</v>
      </c>
      <c r="L43" s="8">
        <f t="shared" si="28"/>
        <v>18800</v>
      </c>
      <c r="M43" s="8">
        <f t="shared" si="28"/>
        <v>17600</v>
      </c>
      <c r="N43" s="8">
        <f t="shared" si="28"/>
        <v>17600</v>
      </c>
      <c r="O43" s="8">
        <f t="shared" si="28"/>
        <v>51200</v>
      </c>
      <c r="P43" s="8">
        <f t="shared" si="28"/>
        <v>2000</v>
      </c>
      <c r="Q43" s="8">
        <f t="shared" si="28"/>
        <v>7200</v>
      </c>
      <c r="R43" s="8">
        <f t="shared" si="28"/>
        <v>36000</v>
      </c>
      <c r="S43" s="8">
        <f t="shared" si="28"/>
        <v>12800</v>
      </c>
      <c r="T43" s="8">
        <f t="shared" si="1"/>
        <v>417200</v>
      </c>
      <c r="U43" s="7"/>
    </row>
    <row r="44" spans="1:21">
      <c r="A44" s="5" t="s">
        <v>96</v>
      </c>
      <c r="B44" s="6" t="s">
        <v>97</v>
      </c>
      <c r="C44" s="6"/>
      <c r="D44" s="7" t="s">
        <v>20</v>
      </c>
      <c r="E44" s="8">
        <f>E45</f>
        <v>489330</v>
      </c>
      <c r="F44" s="8">
        <f t="shared" ref="F44:S44" si="29">F45</f>
        <v>135690</v>
      </c>
      <c r="G44" s="8">
        <f t="shared" si="29"/>
        <v>204405</v>
      </c>
      <c r="H44" s="8">
        <f t="shared" si="29"/>
        <v>268530</v>
      </c>
      <c r="I44" s="8">
        <f t="shared" si="29"/>
        <v>386583.60000000003</v>
      </c>
      <c r="J44" s="8">
        <f t="shared" si="29"/>
        <v>196585.65</v>
      </c>
      <c r="K44" s="8">
        <f t="shared" si="29"/>
        <v>205953.60000000003</v>
      </c>
      <c r="L44" s="8">
        <f t="shared" si="29"/>
        <v>212828.09999999998</v>
      </c>
      <c r="M44" s="8">
        <f t="shared" si="29"/>
        <v>172176.15</v>
      </c>
      <c r="N44" s="8">
        <f t="shared" si="29"/>
        <v>136753.79999999999</v>
      </c>
      <c r="O44" s="8">
        <f t="shared" si="29"/>
        <v>283873.34999999998</v>
      </c>
      <c r="P44" s="8">
        <f t="shared" si="29"/>
        <v>34500</v>
      </c>
      <c r="Q44" s="8">
        <f t="shared" si="29"/>
        <v>65355</v>
      </c>
      <c r="R44" s="8">
        <f t="shared" si="29"/>
        <v>199268.7</v>
      </c>
      <c r="S44" s="8">
        <f t="shared" si="29"/>
        <v>59392.800000000003</v>
      </c>
      <c r="T44" s="8">
        <f t="shared" si="1"/>
        <v>3051225.75</v>
      </c>
      <c r="U44" s="7"/>
    </row>
    <row r="45" spans="1:21" ht="33.75">
      <c r="A45" s="5" t="s">
        <v>98</v>
      </c>
      <c r="B45" s="6" t="s">
        <v>99</v>
      </c>
      <c r="C45" s="6" t="s">
        <v>27</v>
      </c>
      <c r="D45" s="11" t="s">
        <v>100</v>
      </c>
      <c r="E45" s="8">
        <f>E73*15</f>
        <v>489330</v>
      </c>
      <c r="F45" s="8">
        <f t="shared" ref="F45:S45" si="30">F73*15</f>
        <v>135690</v>
      </c>
      <c r="G45" s="8">
        <f t="shared" si="30"/>
        <v>204405</v>
      </c>
      <c r="H45" s="8">
        <f t="shared" si="30"/>
        <v>268530</v>
      </c>
      <c r="I45" s="8">
        <f t="shared" si="30"/>
        <v>386583.60000000003</v>
      </c>
      <c r="J45" s="8">
        <f t="shared" si="30"/>
        <v>196585.65</v>
      </c>
      <c r="K45" s="8">
        <f t="shared" si="30"/>
        <v>205953.60000000003</v>
      </c>
      <c r="L45" s="8">
        <f t="shared" si="30"/>
        <v>212828.09999999998</v>
      </c>
      <c r="M45" s="8">
        <f t="shared" si="30"/>
        <v>172176.15</v>
      </c>
      <c r="N45" s="8">
        <f t="shared" si="30"/>
        <v>136753.79999999999</v>
      </c>
      <c r="O45" s="8">
        <f t="shared" si="30"/>
        <v>283873.34999999998</v>
      </c>
      <c r="P45" s="8">
        <f t="shared" si="30"/>
        <v>34500</v>
      </c>
      <c r="Q45" s="8">
        <f t="shared" si="30"/>
        <v>65355</v>
      </c>
      <c r="R45" s="8">
        <f t="shared" si="30"/>
        <v>199268.7</v>
      </c>
      <c r="S45" s="8">
        <f t="shared" si="30"/>
        <v>59392.800000000003</v>
      </c>
      <c r="T45" s="8">
        <f t="shared" si="1"/>
        <v>3051225.75</v>
      </c>
      <c r="U45" s="7"/>
    </row>
    <row r="46" spans="1:21">
      <c r="A46" s="5" t="s">
        <v>101</v>
      </c>
      <c r="B46" s="6" t="s">
        <v>102</v>
      </c>
      <c r="C46" s="6"/>
      <c r="D46" s="7" t="s">
        <v>20</v>
      </c>
      <c r="E46" s="8">
        <f>E47</f>
        <v>238592</v>
      </c>
      <c r="F46" s="8">
        <f t="shared" ref="F46:S46" si="31">F47</f>
        <v>69296</v>
      </c>
      <c r="G46" s="8">
        <f t="shared" si="31"/>
        <v>64000</v>
      </c>
      <c r="H46" s="8">
        <f t="shared" si="31"/>
        <v>64000</v>
      </c>
      <c r="I46" s="8">
        <f t="shared" si="31"/>
        <v>126840</v>
      </c>
      <c r="J46" s="8">
        <f t="shared" si="31"/>
        <v>37352</v>
      </c>
      <c r="K46" s="8">
        <f t="shared" si="31"/>
        <v>51136</v>
      </c>
      <c r="L46" s="8">
        <f t="shared" si="31"/>
        <v>49380.800000000003</v>
      </c>
      <c r="M46" s="8">
        <f t="shared" si="31"/>
        <v>52681.599999999999</v>
      </c>
      <c r="N46" s="8">
        <f t="shared" si="31"/>
        <v>24480</v>
      </c>
      <c r="O46" s="8">
        <f t="shared" si="31"/>
        <v>107680</v>
      </c>
      <c r="P46" s="8">
        <f t="shared" si="31"/>
        <v>0</v>
      </c>
      <c r="Q46" s="8">
        <f t="shared" si="31"/>
        <v>12040</v>
      </c>
      <c r="R46" s="8">
        <f t="shared" si="31"/>
        <v>54272</v>
      </c>
      <c r="S46" s="8">
        <f t="shared" si="31"/>
        <v>32104</v>
      </c>
      <c r="T46" s="8">
        <f t="shared" si="1"/>
        <v>983854.4</v>
      </c>
      <c r="U46" s="7"/>
    </row>
    <row r="47" spans="1:21" ht="33.75">
      <c r="A47" s="5" t="s">
        <v>103</v>
      </c>
      <c r="B47" s="6" t="s">
        <v>104</v>
      </c>
      <c r="C47" s="6" t="s">
        <v>27</v>
      </c>
      <c r="D47" s="11" t="s">
        <v>105</v>
      </c>
      <c r="E47" s="8">
        <f>E74*8</f>
        <v>238592</v>
      </c>
      <c r="F47" s="8">
        <f t="shared" ref="F47:S47" si="32">F74*8</f>
        <v>69296</v>
      </c>
      <c r="G47" s="8">
        <f t="shared" si="32"/>
        <v>64000</v>
      </c>
      <c r="H47" s="8">
        <f t="shared" si="32"/>
        <v>64000</v>
      </c>
      <c r="I47" s="8">
        <f t="shared" si="32"/>
        <v>126840</v>
      </c>
      <c r="J47" s="8">
        <f t="shared" si="32"/>
        <v>37352</v>
      </c>
      <c r="K47" s="8">
        <f t="shared" si="32"/>
        <v>51136</v>
      </c>
      <c r="L47" s="8">
        <f t="shared" si="32"/>
        <v>49380.800000000003</v>
      </c>
      <c r="M47" s="8">
        <f t="shared" si="32"/>
        <v>52681.599999999999</v>
      </c>
      <c r="N47" s="8">
        <f t="shared" si="32"/>
        <v>24480</v>
      </c>
      <c r="O47" s="8">
        <f t="shared" si="32"/>
        <v>107680</v>
      </c>
      <c r="P47" s="8">
        <f t="shared" si="32"/>
        <v>0</v>
      </c>
      <c r="Q47" s="8">
        <f t="shared" si="32"/>
        <v>12040</v>
      </c>
      <c r="R47" s="8">
        <f t="shared" si="32"/>
        <v>54272</v>
      </c>
      <c r="S47" s="8">
        <f t="shared" si="32"/>
        <v>32104</v>
      </c>
      <c r="T47" s="8">
        <f t="shared" si="1"/>
        <v>983854.4</v>
      </c>
      <c r="U47" s="7"/>
    </row>
    <row r="48" spans="1:21">
      <c r="A48" s="5" t="s">
        <v>106</v>
      </c>
      <c r="B48" s="6" t="s">
        <v>203</v>
      </c>
      <c r="C48" s="6"/>
      <c r="D48" s="7" t="s">
        <v>20</v>
      </c>
      <c r="E48" s="8">
        <f>E49+E50</f>
        <v>864000</v>
      </c>
      <c r="F48" s="8">
        <f t="shared" ref="F48:S48" si="33">F49+F50</f>
        <v>544320</v>
      </c>
      <c r="G48" s="8">
        <f t="shared" si="33"/>
        <v>660960</v>
      </c>
      <c r="H48" s="8">
        <f t="shared" si="33"/>
        <v>578880</v>
      </c>
      <c r="I48" s="8">
        <f t="shared" si="33"/>
        <v>915840</v>
      </c>
      <c r="J48" s="8">
        <f t="shared" si="33"/>
        <v>254880</v>
      </c>
      <c r="K48" s="8">
        <f t="shared" si="33"/>
        <v>289440</v>
      </c>
      <c r="L48" s="8">
        <f t="shared" si="33"/>
        <v>293760</v>
      </c>
      <c r="M48" s="8">
        <f t="shared" si="33"/>
        <v>216000</v>
      </c>
      <c r="N48" s="8">
        <f t="shared" si="33"/>
        <v>194400</v>
      </c>
      <c r="O48" s="8">
        <f t="shared" si="33"/>
        <v>578880</v>
      </c>
      <c r="P48" s="8">
        <f t="shared" si="33"/>
        <v>38880</v>
      </c>
      <c r="Q48" s="8">
        <f t="shared" si="33"/>
        <v>77760</v>
      </c>
      <c r="R48" s="8">
        <f t="shared" si="33"/>
        <v>419040</v>
      </c>
      <c r="S48" s="8">
        <f t="shared" si="33"/>
        <v>185760</v>
      </c>
      <c r="T48" s="8">
        <f t="shared" si="1"/>
        <v>6112800</v>
      </c>
      <c r="U48" s="7"/>
    </row>
    <row r="49" spans="1:21" ht="33.75">
      <c r="A49" s="5" t="s">
        <v>107</v>
      </c>
      <c r="B49" s="6" t="s">
        <v>204</v>
      </c>
      <c r="C49" s="6" t="s">
        <v>27</v>
      </c>
      <c r="D49" s="11" t="s">
        <v>108</v>
      </c>
      <c r="E49" s="8">
        <f>E62*4320</f>
        <v>475200</v>
      </c>
      <c r="F49" s="8">
        <f t="shared" ref="F49:S49" si="34">F62*4320</f>
        <v>298080</v>
      </c>
      <c r="G49" s="8">
        <f t="shared" si="34"/>
        <v>319680</v>
      </c>
      <c r="H49" s="8">
        <f t="shared" si="34"/>
        <v>358560</v>
      </c>
      <c r="I49" s="8">
        <f t="shared" si="34"/>
        <v>803520</v>
      </c>
      <c r="J49" s="8">
        <f t="shared" si="34"/>
        <v>254880</v>
      </c>
      <c r="K49" s="8">
        <f t="shared" si="34"/>
        <v>233280</v>
      </c>
      <c r="L49" s="8">
        <f t="shared" si="34"/>
        <v>203040</v>
      </c>
      <c r="M49" s="8">
        <f t="shared" si="34"/>
        <v>190080</v>
      </c>
      <c r="N49" s="8">
        <f t="shared" si="34"/>
        <v>190080</v>
      </c>
      <c r="O49" s="8">
        <f t="shared" si="34"/>
        <v>552960</v>
      </c>
      <c r="P49" s="8">
        <f t="shared" si="34"/>
        <v>21600</v>
      </c>
      <c r="Q49" s="8">
        <f t="shared" si="34"/>
        <v>77760</v>
      </c>
      <c r="R49" s="8">
        <f t="shared" si="34"/>
        <v>388800</v>
      </c>
      <c r="S49" s="8">
        <f t="shared" si="34"/>
        <v>138240</v>
      </c>
      <c r="T49" s="8">
        <f t="shared" si="1"/>
        <v>4505760</v>
      </c>
      <c r="U49" s="7"/>
    </row>
    <row r="50" spans="1:21" ht="33.75">
      <c r="A50" s="5" t="s">
        <v>109</v>
      </c>
      <c r="B50" s="6" t="s">
        <v>205</v>
      </c>
      <c r="C50" s="6" t="s">
        <v>27</v>
      </c>
      <c r="D50" s="11" t="s">
        <v>206</v>
      </c>
      <c r="E50" s="8">
        <f>E72*4320</f>
        <v>388800</v>
      </c>
      <c r="F50" s="8">
        <f t="shared" ref="F50:S50" si="35">F72*4320</f>
        <v>246240</v>
      </c>
      <c r="G50" s="8">
        <f t="shared" si="35"/>
        <v>341280</v>
      </c>
      <c r="H50" s="8">
        <f t="shared" si="35"/>
        <v>220320</v>
      </c>
      <c r="I50" s="8">
        <f t="shared" si="35"/>
        <v>112320</v>
      </c>
      <c r="J50" s="8">
        <f t="shared" si="35"/>
        <v>0</v>
      </c>
      <c r="K50" s="8">
        <f t="shared" si="35"/>
        <v>56160</v>
      </c>
      <c r="L50" s="8">
        <f t="shared" si="35"/>
        <v>90720</v>
      </c>
      <c r="M50" s="8">
        <f t="shared" si="35"/>
        <v>25920</v>
      </c>
      <c r="N50" s="8">
        <f t="shared" si="35"/>
        <v>4320</v>
      </c>
      <c r="O50" s="8">
        <f t="shared" si="35"/>
        <v>25920</v>
      </c>
      <c r="P50" s="8">
        <f t="shared" si="35"/>
        <v>17280</v>
      </c>
      <c r="Q50" s="8">
        <f t="shared" si="35"/>
        <v>0</v>
      </c>
      <c r="R50" s="8">
        <f t="shared" si="35"/>
        <v>30240</v>
      </c>
      <c r="S50" s="8">
        <f t="shared" si="35"/>
        <v>47520</v>
      </c>
      <c r="T50" s="8">
        <f t="shared" si="1"/>
        <v>1607040</v>
      </c>
      <c r="U50" s="7"/>
    </row>
    <row r="51" spans="1:21">
      <c r="A51" s="5" t="s">
        <v>110</v>
      </c>
      <c r="B51" s="6" t="s">
        <v>207</v>
      </c>
      <c r="C51" s="6"/>
      <c r="D51" s="7" t="s">
        <v>20</v>
      </c>
      <c r="E51" s="8">
        <f>E52</f>
        <v>594505.71</v>
      </c>
      <c r="F51" s="8">
        <f t="shared" ref="F51:S51" si="36">F52</f>
        <v>371738.86</v>
      </c>
      <c r="G51" s="8">
        <f t="shared" si="36"/>
        <v>389668</v>
      </c>
      <c r="H51" s="8">
        <f t="shared" si="36"/>
        <v>390242.29</v>
      </c>
      <c r="I51" s="8">
        <f t="shared" si="36"/>
        <v>886289.43</v>
      </c>
      <c r="J51" s="8">
        <f t="shared" si="36"/>
        <v>282406.86</v>
      </c>
      <c r="K51" s="8">
        <f t="shared" si="36"/>
        <v>245058.86</v>
      </c>
      <c r="L51" s="8">
        <f t="shared" si="36"/>
        <v>209830.57</v>
      </c>
      <c r="M51" s="8">
        <f t="shared" si="36"/>
        <v>185689.14</v>
      </c>
      <c r="N51" s="8">
        <f t="shared" si="36"/>
        <v>195302.86</v>
      </c>
      <c r="O51" s="8">
        <f t="shared" si="36"/>
        <v>634120.56999999995</v>
      </c>
      <c r="P51" s="8">
        <f t="shared" si="36"/>
        <v>25525.71</v>
      </c>
      <c r="Q51" s="8">
        <f t="shared" si="36"/>
        <v>71555.429999999993</v>
      </c>
      <c r="R51" s="8">
        <f t="shared" si="36"/>
        <v>418399.71</v>
      </c>
      <c r="S51" s="8">
        <f t="shared" si="36"/>
        <v>134571.14000000001</v>
      </c>
      <c r="T51" s="8">
        <f t="shared" si="1"/>
        <v>5034905.1399999987</v>
      </c>
      <c r="U51" s="7"/>
    </row>
    <row r="52" spans="1:21" ht="22.5">
      <c r="A52" s="5" t="s">
        <v>111</v>
      </c>
      <c r="B52" s="6" t="s">
        <v>112</v>
      </c>
      <c r="C52" s="6" t="s">
        <v>27</v>
      </c>
      <c r="D52" s="7" t="s">
        <v>42</v>
      </c>
      <c r="E52" s="8">
        <f>ROUND(E30/0.07*0.02,2)</f>
        <v>594505.71</v>
      </c>
      <c r="F52" s="8">
        <f t="shared" ref="F52:S52" si="37">ROUND(F30/0.07*0.02,2)</f>
        <v>371738.86</v>
      </c>
      <c r="G52" s="8">
        <f t="shared" si="37"/>
        <v>389668</v>
      </c>
      <c r="H52" s="8">
        <f t="shared" si="37"/>
        <v>390242.29</v>
      </c>
      <c r="I52" s="8">
        <f t="shared" si="37"/>
        <v>886289.43</v>
      </c>
      <c r="J52" s="8">
        <f t="shared" si="37"/>
        <v>282406.86</v>
      </c>
      <c r="K52" s="8">
        <f t="shared" si="37"/>
        <v>245058.86</v>
      </c>
      <c r="L52" s="8">
        <f t="shared" si="37"/>
        <v>209830.57</v>
      </c>
      <c r="M52" s="8">
        <f t="shared" si="37"/>
        <v>185689.14</v>
      </c>
      <c r="N52" s="8">
        <f t="shared" si="37"/>
        <v>195302.86</v>
      </c>
      <c r="O52" s="8">
        <f t="shared" si="37"/>
        <v>634120.56999999995</v>
      </c>
      <c r="P52" s="8">
        <f t="shared" si="37"/>
        <v>25525.71</v>
      </c>
      <c r="Q52" s="8">
        <f t="shared" si="37"/>
        <v>71555.429999999993</v>
      </c>
      <c r="R52" s="8">
        <f t="shared" si="37"/>
        <v>418399.71</v>
      </c>
      <c r="S52" s="8">
        <f t="shared" si="37"/>
        <v>134571.14000000001</v>
      </c>
      <c r="T52" s="8">
        <f t="shared" si="1"/>
        <v>5034905.1399999987</v>
      </c>
      <c r="U52" s="7"/>
    </row>
    <row r="53" spans="1:21">
      <c r="A53" s="5" t="s">
        <v>113</v>
      </c>
      <c r="B53" s="6" t="s">
        <v>208</v>
      </c>
      <c r="C53" s="6"/>
      <c r="D53" s="7" t="s">
        <v>20</v>
      </c>
      <c r="E53" s="8">
        <f>E54</f>
        <v>32000</v>
      </c>
      <c r="F53" s="8">
        <f t="shared" ref="F53:S53" si="38">F54</f>
        <v>32000</v>
      </c>
      <c r="G53" s="8">
        <f t="shared" si="38"/>
        <v>32000</v>
      </c>
      <c r="H53" s="8">
        <f t="shared" si="38"/>
        <v>25000</v>
      </c>
      <c r="I53" s="8">
        <f t="shared" si="38"/>
        <v>64000</v>
      </c>
      <c r="J53" s="8">
        <f t="shared" si="38"/>
        <v>0</v>
      </c>
      <c r="K53" s="8">
        <f t="shared" si="38"/>
        <v>32000</v>
      </c>
      <c r="L53" s="8">
        <f t="shared" si="38"/>
        <v>25000</v>
      </c>
      <c r="M53" s="8">
        <f t="shared" si="38"/>
        <v>0</v>
      </c>
      <c r="N53" s="8">
        <f t="shared" si="38"/>
        <v>0</v>
      </c>
      <c r="O53" s="8">
        <f t="shared" si="38"/>
        <v>32000</v>
      </c>
      <c r="P53" s="8">
        <f t="shared" si="38"/>
        <v>0</v>
      </c>
      <c r="Q53" s="8">
        <f t="shared" si="38"/>
        <v>0</v>
      </c>
      <c r="R53" s="8">
        <f t="shared" si="38"/>
        <v>0</v>
      </c>
      <c r="S53" s="8">
        <f t="shared" si="38"/>
        <v>0</v>
      </c>
      <c r="T53" s="8">
        <f t="shared" si="1"/>
        <v>274000</v>
      </c>
      <c r="U53" s="7"/>
    </row>
    <row r="54" spans="1:21" ht="90">
      <c r="A54" s="5" t="s">
        <v>114</v>
      </c>
      <c r="B54" s="6" t="s">
        <v>115</v>
      </c>
      <c r="C54" s="6" t="s">
        <v>27</v>
      </c>
      <c r="D54" s="11" t="s">
        <v>209</v>
      </c>
      <c r="E54" s="9">
        <v>32000</v>
      </c>
      <c r="F54" s="9">
        <v>32000</v>
      </c>
      <c r="G54" s="9">
        <v>32000</v>
      </c>
      <c r="H54" s="9">
        <f>32000-7000</f>
        <v>25000</v>
      </c>
      <c r="I54" s="9">
        <v>64000</v>
      </c>
      <c r="J54" s="9"/>
      <c r="K54" s="9">
        <v>32000</v>
      </c>
      <c r="L54" s="9">
        <f>32000-7000</f>
        <v>25000</v>
      </c>
      <c r="M54" s="9"/>
      <c r="N54" s="9"/>
      <c r="O54" s="9">
        <v>32000</v>
      </c>
      <c r="P54" s="9"/>
      <c r="Q54" s="9"/>
      <c r="R54" s="9"/>
      <c r="S54" s="9"/>
      <c r="T54" s="8">
        <f t="shared" si="1"/>
        <v>274000</v>
      </c>
      <c r="U54" s="7"/>
    </row>
    <row r="55" spans="1:21">
      <c r="A55" s="5" t="s">
        <v>116</v>
      </c>
      <c r="B55" s="6" t="s">
        <v>210</v>
      </c>
      <c r="C55" s="6"/>
      <c r="D55" s="7" t="s">
        <v>20</v>
      </c>
      <c r="E55" s="8">
        <f>E56+E58</f>
        <v>36000</v>
      </c>
      <c r="F55" s="8">
        <f t="shared" ref="F55:S55" si="39">F56+F58</f>
        <v>22800</v>
      </c>
      <c r="G55" s="8">
        <f t="shared" si="39"/>
        <v>31600</v>
      </c>
      <c r="H55" s="8">
        <f t="shared" si="39"/>
        <v>20400</v>
      </c>
      <c r="I55" s="8">
        <f t="shared" si="39"/>
        <v>10400</v>
      </c>
      <c r="J55" s="8">
        <f t="shared" si="39"/>
        <v>0</v>
      </c>
      <c r="K55" s="8">
        <f t="shared" si="39"/>
        <v>5200</v>
      </c>
      <c r="L55" s="8">
        <f t="shared" si="39"/>
        <v>8400</v>
      </c>
      <c r="M55" s="8">
        <f t="shared" si="39"/>
        <v>2400</v>
      </c>
      <c r="N55" s="8">
        <f t="shared" si="39"/>
        <v>400</v>
      </c>
      <c r="O55" s="8">
        <f t="shared" si="39"/>
        <v>2400</v>
      </c>
      <c r="P55" s="8">
        <f t="shared" si="39"/>
        <v>1600</v>
      </c>
      <c r="Q55" s="8">
        <f t="shared" si="39"/>
        <v>0</v>
      </c>
      <c r="R55" s="8">
        <f t="shared" si="39"/>
        <v>2800</v>
      </c>
      <c r="S55" s="8">
        <f t="shared" si="39"/>
        <v>4400</v>
      </c>
      <c r="T55" s="8">
        <f t="shared" si="1"/>
        <v>148800</v>
      </c>
      <c r="U55" s="7"/>
    </row>
    <row r="56" spans="1:21">
      <c r="A56" s="5" t="s">
        <v>117</v>
      </c>
      <c r="B56" s="6" t="s">
        <v>211</v>
      </c>
      <c r="C56" s="6" t="s">
        <v>27</v>
      </c>
      <c r="D56" s="7" t="s">
        <v>20</v>
      </c>
      <c r="E56" s="8">
        <f>E57</f>
        <v>36000</v>
      </c>
      <c r="F56" s="8">
        <f t="shared" ref="F56:S56" si="40">F57</f>
        <v>22800</v>
      </c>
      <c r="G56" s="8">
        <f t="shared" si="40"/>
        <v>31600</v>
      </c>
      <c r="H56" s="8">
        <f t="shared" si="40"/>
        <v>20400</v>
      </c>
      <c r="I56" s="8">
        <f t="shared" si="40"/>
        <v>10400</v>
      </c>
      <c r="J56" s="8">
        <f t="shared" si="40"/>
        <v>0</v>
      </c>
      <c r="K56" s="8">
        <f t="shared" si="40"/>
        <v>5200</v>
      </c>
      <c r="L56" s="8">
        <f t="shared" si="40"/>
        <v>8400</v>
      </c>
      <c r="M56" s="8">
        <f t="shared" si="40"/>
        <v>2400</v>
      </c>
      <c r="N56" s="8">
        <f t="shared" si="40"/>
        <v>400</v>
      </c>
      <c r="O56" s="8">
        <f t="shared" si="40"/>
        <v>2400</v>
      </c>
      <c r="P56" s="8">
        <f t="shared" si="40"/>
        <v>1600</v>
      </c>
      <c r="Q56" s="8">
        <f t="shared" si="40"/>
        <v>0</v>
      </c>
      <c r="R56" s="8">
        <f t="shared" si="40"/>
        <v>2800</v>
      </c>
      <c r="S56" s="8">
        <f t="shared" si="40"/>
        <v>4400</v>
      </c>
      <c r="T56" s="8">
        <f t="shared" si="1"/>
        <v>148800</v>
      </c>
      <c r="U56" s="7"/>
    </row>
    <row r="57" spans="1:21" ht="45">
      <c r="A57" s="5" t="s">
        <v>118</v>
      </c>
      <c r="B57" s="6" t="s">
        <v>119</v>
      </c>
      <c r="C57" s="6" t="s">
        <v>27</v>
      </c>
      <c r="D57" s="11" t="s">
        <v>212</v>
      </c>
      <c r="E57" s="8">
        <f>E72*400</f>
        <v>36000</v>
      </c>
      <c r="F57" s="8">
        <f t="shared" ref="F57:S57" si="41">F72*400</f>
        <v>22800</v>
      </c>
      <c r="G57" s="8">
        <f t="shared" si="41"/>
        <v>31600</v>
      </c>
      <c r="H57" s="8">
        <f t="shared" si="41"/>
        <v>20400</v>
      </c>
      <c r="I57" s="8">
        <f t="shared" si="41"/>
        <v>10400</v>
      </c>
      <c r="J57" s="8">
        <f t="shared" si="41"/>
        <v>0</v>
      </c>
      <c r="K57" s="8">
        <f t="shared" si="41"/>
        <v>5200</v>
      </c>
      <c r="L57" s="8">
        <f t="shared" si="41"/>
        <v>8400</v>
      </c>
      <c r="M57" s="8">
        <f t="shared" si="41"/>
        <v>2400</v>
      </c>
      <c r="N57" s="8">
        <f t="shared" si="41"/>
        <v>400</v>
      </c>
      <c r="O57" s="8">
        <f t="shared" si="41"/>
        <v>2400</v>
      </c>
      <c r="P57" s="8">
        <f t="shared" si="41"/>
        <v>1600</v>
      </c>
      <c r="Q57" s="8">
        <f t="shared" si="41"/>
        <v>0</v>
      </c>
      <c r="R57" s="8">
        <f t="shared" si="41"/>
        <v>2800</v>
      </c>
      <c r="S57" s="8">
        <f t="shared" si="41"/>
        <v>4400</v>
      </c>
      <c r="T57" s="8">
        <f t="shared" si="1"/>
        <v>148800</v>
      </c>
      <c r="U57" s="7"/>
    </row>
    <row r="58" spans="1:21">
      <c r="A58" s="5" t="s">
        <v>120</v>
      </c>
      <c r="B58" s="6" t="s">
        <v>213</v>
      </c>
      <c r="C58" s="6" t="s">
        <v>27</v>
      </c>
      <c r="D58" s="11" t="s">
        <v>121</v>
      </c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8">
        <f t="shared" si="1"/>
        <v>0</v>
      </c>
      <c r="U58" s="7"/>
    </row>
    <row r="59" spans="1:21">
      <c r="A59" s="5" t="s">
        <v>122</v>
      </c>
      <c r="B59" s="6" t="s">
        <v>214</v>
      </c>
      <c r="C59" s="6"/>
      <c r="D59" s="7" t="s">
        <v>20</v>
      </c>
      <c r="E59" s="8">
        <f>E60</f>
        <v>0</v>
      </c>
      <c r="F59" s="8">
        <f t="shared" ref="F59:S59" si="42">F60</f>
        <v>0</v>
      </c>
      <c r="G59" s="8">
        <f t="shared" si="42"/>
        <v>0</v>
      </c>
      <c r="H59" s="8">
        <f t="shared" si="42"/>
        <v>0</v>
      </c>
      <c r="I59" s="8">
        <f t="shared" si="42"/>
        <v>0</v>
      </c>
      <c r="J59" s="8">
        <f t="shared" si="42"/>
        <v>32000</v>
      </c>
      <c r="K59" s="8">
        <f t="shared" si="42"/>
        <v>5000</v>
      </c>
      <c r="L59" s="8">
        <f t="shared" si="42"/>
        <v>10000</v>
      </c>
      <c r="M59" s="8">
        <f t="shared" si="42"/>
        <v>32000</v>
      </c>
      <c r="N59" s="8">
        <f t="shared" si="42"/>
        <v>32000</v>
      </c>
      <c r="O59" s="8">
        <f t="shared" si="42"/>
        <v>0</v>
      </c>
      <c r="P59" s="8">
        <f t="shared" si="42"/>
        <v>0</v>
      </c>
      <c r="Q59" s="8">
        <f t="shared" si="42"/>
        <v>32000</v>
      </c>
      <c r="R59" s="8">
        <f t="shared" si="42"/>
        <v>32000</v>
      </c>
      <c r="S59" s="8">
        <f t="shared" si="42"/>
        <v>32000</v>
      </c>
      <c r="T59" s="8">
        <f t="shared" si="1"/>
        <v>207000</v>
      </c>
      <c r="U59" s="7"/>
    </row>
    <row r="60" spans="1:21" ht="135.75" thickBot="1">
      <c r="A60" s="5" t="s">
        <v>123</v>
      </c>
      <c r="B60" s="13" t="s">
        <v>124</v>
      </c>
      <c r="C60" s="6" t="s">
        <v>27</v>
      </c>
      <c r="D60" s="14" t="s">
        <v>215</v>
      </c>
      <c r="E60" s="2"/>
      <c r="F60" s="2"/>
      <c r="G60" s="2"/>
      <c r="H60" s="2"/>
      <c r="I60" s="2"/>
      <c r="J60" s="2">
        <v>32000</v>
      </c>
      <c r="K60" s="2">
        <v>5000</v>
      </c>
      <c r="L60" s="2">
        <v>10000</v>
      </c>
      <c r="M60" s="2">
        <v>32000</v>
      </c>
      <c r="N60" s="2">
        <v>32000</v>
      </c>
      <c r="O60" s="2"/>
      <c r="P60" s="2"/>
      <c r="Q60" s="2">
        <v>32000</v>
      </c>
      <c r="R60" s="2">
        <v>32000</v>
      </c>
      <c r="S60" s="2">
        <v>32000</v>
      </c>
      <c r="T60" s="8">
        <f t="shared" si="1"/>
        <v>207000</v>
      </c>
      <c r="U60" s="15"/>
    </row>
    <row r="61" spans="1:21" ht="12" thickTop="1">
      <c r="A61" s="5" t="s">
        <v>125</v>
      </c>
      <c r="B61" s="16" t="s">
        <v>126</v>
      </c>
      <c r="C61" s="16"/>
      <c r="D61" s="17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8">
        <f t="shared" si="1"/>
        <v>0</v>
      </c>
      <c r="U61" s="19"/>
    </row>
    <row r="62" spans="1:21" ht="33.75">
      <c r="A62" s="5" t="s">
        <v>127</v>
      </c>
      <c r="B62" s="6" t="s">
        <v>128</v>
      </c>
      <c r="C62" s="6"/>
      <c r="D62" s="7" t="s">
        <v>216</v>
      </c>
      <c r="E62" s="8">
        <f>E63+E64+E65+E66</f>
        <v>110</v>
      </c>
      <c r="F62" s="8">
        <f t="shared" ref="F62:S62" si="43">F63+F64+F65+F66</f>
        <v>69</v>
      </c>
      <c r="G62" s="8">
        <f t="shared" si="43"/>
        <v>74</v>
      </c>
      <c r="H62" s="8">
        <f t="shared" si="43"/>
        <v>83</v>
      </c>
      <c r="I62" s="8">
        <f t="shared" si="43"/>
        <v>186</v>
      </c>
      <c r="J62" s="8">
        <f t="shared" si="43"/>
        <v>59</v>
      </c>
      <c r="K62" s="8">
        <f t="shared" si="43"/>
        <v>54</v>
      </c>
      <c r="L62" s="8">
        <f t="shared" si="43"/>
        <v>47</v>
      </c>
      <c r="M62" s="8">
        <f t="shared" si="43"/>
        <v>44</v>
      </c>
      <c r="N62" s="8">
        <f t="shared" si="43"/>
        <v>44</v>
      </c>
      <c r="O62" s="8">
        <f t="shared" si="43"/>
        <v>128</v>
      </c>
      <c r="P62" s="8">
        <f t="shared" si="43"/>
        <v>5</v>
      </c>
      <c r="Q62" s="8">
        <f t="shared" si="43"/>
        <v>18</v>
      </c>
      <c r="R62" s="8">
        <f t="shared" si="43"/>
        <v>90</v>
      </c>
      <c r="S62" s="8">
        <f t="shared" si="43"/>
        <v>32</v>
      </c>
      <c r="T62" s="8">
        <f t="shared" si="1"/>
        <v>1043</v>
      </c>
      <c r="U62" s="7"/>
    </row>
    <row r="63" spans="1:21">
      <c r="A63" s="5" t="s">
        <v>129</v>
      </c>
      <c r="B63" s="20" t="s">
        <v>130</v>
      </c>
      <c r="C63" s="20"/>
      <c r="D63" s="7"/>
      <c r="E63" s="9">
        <v>110</v>
      </c>
      <c r="F63" s="9">
        <v>69</v>
      </c>
      <c r="G63" s="9"/>
      <c r="H63" s="9"/>
      <c r="I63" s="9"/>
      <c r="J63" s="9"/>
      <c r="K63" s="9"/>
      <c r="L63" s="9"/>
      <c r="M63" s="9"/>
      <c r="N63" s="9"/>
      <c r="O63" s="9">
        <v>63</v>
      </c>
      <c r="P63" s="9"/>
      <c r="Q63" s="9"/>
      <c r="R63" s="9">
        <v>90</v>
      </c>
      <c r="S63" s="9"/>
      <c r="T63" s="8">
        <f t="shared" si="1"/>
        <v>332</v>
      </c>
      <c r="U63" s="7"/>
    </row>
    <row r="64" spans="1:21">
      <c r="A64" s="5" t="s">
        <v>131</v>
      </c>
      <c r="B64" s="20" t="s">
        <v>132</v>
      </c>
      <c r="C64" s="20"/>
      <c r="D64" s="7"/>
      <c r="E64" s="9"/>
      <c r="F64" s="9"/>
      <c r="G64" s="9">
        <v>74</v>
      </c>
      <c r="H64" s="9">
        <v>83</v>
      </c>
      <c r="I64" s="9">
        <v>186</v>
      </c>
      <c r="J64" s="9">
        <v>59</v>
      </c>
      <c r="K64" s="9"/>
      <c r="L64" s="9"/>
      <c r="M64" s="9"/>
      <c r="N64" s="9"/>
      <c r="O64" s="9">
        <v>65</v>
      </c>
      <c r="P64" s="9"/>
      <c r="Q64" s="9"/>
      <c r="R64" s="9"/>
      <c r="S64" s="9"/>
      <c r="T64" s="8">
        <f t="shared" si="1"/>
        <v>467</v>
      </c>
      <c r="U64" s="7"/>
    </row>
    <row r="65" spans="1:21">
      <c r="A65" s="5" t="s">
        <v>133</v>
      </c>
      <c r="B65" s="20" t="s">
        <v>134</v>
      </c>
      <c r="C65" s="20"/>
      <c r="D65" s="7"/>
      <c r="E65" s="9"/>
      <c r="F65" s="9"/>
      <c r="G65" s="9"/>
      <c r="H65" s="9"/>
      <c r="I65" s="9"/>
      <c r="J65" s="9"/>
      <c r="K65" s="9">
        <v>54</v>
      </c>
      <c r="L65" s="9">
        <v>47</v>
      </c>
      <c r="M65" s="9">
        <v>44</v>
      </c>
      <c r="N65" s="9">
        <v>44</v>
      </c>
      <c r="O65" s="9"/>
      <c r="P65" s="9"/>
      <c r="Q65" s="9">
        <v>18</v>
      </c>
      <c r="R65" s="9"/>
      <c r="S65" s="9">
        <v>32</v>
      </c>
      <c r="T65" s="8">
        <f t="shared" si="1"/>
        <v>239</v>
      </c>
      <c r="U65" s="7"/>
    </row>
    <row r="66" spans="1:21">
      <c r="A66" s="5" t="s">
        <v>135</v>
      </c>
      <c r="B66" s="20" t="s">
        <v>136</v>
      </c>
      <c r="C66" s="20"/>
      <c r="D66" s="7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>
        <v>5</v>
      </c>
      <c r="Q66" s="9"/>
      <c r="R66" s="9"/>
      <c r="S66" s="9"/>
      <c r="T66" s="8">
        <f t="shared" si="1"/>
        <v>5</v>
      </c>
      <c r="U66" s="7"/>
    </row>
    <row r="67" spans="1:21" ht="56.25">
      <c r="A67" s="5" t="s">
        <v>137</v>
      </c>
      <c r="B67" s="6" t="s">
        <v>138</v>
      </c>
      <c r="C67" s="6"/>
      <c r="D67" s="7" t="s">
        <v>217</v>
      </c>
      <c r="E67" s="8">
        <f>E68+E69+E70+E71</f>
        <v>1773</v>
      </c>
      <c r="F67" s="8">
        <f t="shared" ref="F67:S67" si="44">F68+F69+F70+F71</f>
        <v>1028</v>
      </c>
      <c r="G67" s="8">
        <f t="shared" si="44"/>
        <v>1215</v>
      </c>
      <c r="H67" s="8">
        <f t="shared" si="44"/>
        <v>1064</v>
      </c>
      <c r="I67" s="8">
        <f t="shared" si="44"/>
        <v>3078</v>
      </c>
      <c r="J67" s="8">
        <f t="shared" si="44"/>
        <v>950</v>
      </c>
      <c r="K67" s="8">
        <f t="shared" si="44"/>
        <v>560</v>
      </c>
      <c r="L67" s="8">
        <f t="shared" si="44"/>
        <v>578</v>
      </c>
      <c r="M67" s="8">
        <f t="shared" si="44"/>
        <v>513</v>
      </c>
      <c r="N67" s="8">
        <f t="shared" si="44"/>
        <v>528</v>
      </c>
      <c r="O67" s="8">
        <f t="shared" si="44"/>
        <v>2003</v>
      </c>
      <c r="P67" s="8">
        <f t="shared" si="44"/>
        <v>0</v>
      </c>
      <c r="Q67" s="8">
        <f t="shared" si="44"/>
        <v>205</v>
      </c>
      <c r="R67" s="8">
        <f t="shared" si="44"/>
        <v>1485</v>
      </c>
      <c r="S67" s="8">
        <f t="shared" si="44"/>
        <v>341</v>
      </c>
      <c r="T67" s="8">
        <f t="shared" si="1"/>
        <v>15321</v>
      </c>
      <c r="U67" s="7"/>
    </row>
    <row r="68" spans="1:21">
      <c r="A68" s="5" t="s">
        <v>139</v>
      </c>
      <c r="B68" s="20" t="s">
        <v>130</v>
      </c>
      <c r="C68" s="20"/>
      <c r="D68" s="7"/>
      <c r="E68" s="9">
        <v>1773</v>
      </c>
      <c r="F68" s="9">
        <v>1028</v>
      </c>
      <c r="G68" s="9"/>
      <c r="H68" s="9"/>
      <c r="I68" s="9"/>
      <c r="J68" s="9"/>
      <c r="K68" s="9"/>
      <c r="L68" s="9"/>
      <c r="M68" s="9"/>
      <c r="N68" s="9"/>
      <c r="O68" s="9">
        <v>908</v>
      </c>
      <c r="P68" s="9"/>
      <c r="Q68" s="9"/>
      <c r="R68" s="9">
        <v>1485</v>
      </c>
      <c r="S68" s="9"/>
      <c r="T68" s="8">
        <f t="shared" ref="T68:T74" si="45">SUM(E68:S68)</f>
        <v>5194</v>
      </c>
      <c r="U68" s="7"/>
    </row>
    <row r="69" spans="1:21">
      <c r="A69" s="5" t="s">
        <v>140</v>
      </c>
      <c r="B69" s="20" t="s">
        <v>132</v>
      </c>
      <c r="C69" s="20"/>
      <c r="D69" s="7"/>
      <c r="E69" s="9"/>
      <c r="F69" s="9"/>
      <c r="G69" s="9">
        <v>1215</v>
      </c>
      <c r="H69" s="9">
        <v>1064</v>
      </c>
      <c r="I69" s="9">
        <v>3078</v>
      </c>
      <c r="J69" s="9">
        <v>950</v>
      </c>
      <c r="K69" s="9"/>
      <c r="L69" s="9"/>
      <c r="M69" s="9"/>
      <c r="N69" s="9"/>
      <c r="O69" s="9">
        <v>1095</v>
      </c>
      <c r="P69" s="9"/>
      <c r="Q69" s="9"/>
      <c r="R69" s="9"/>
      <c r="S69" s="9"/>
      <c r="T69" s="8">
        <f t="shared" si="45"/>
        <v>7402</v>
      </c>
      <c r="U69" s="7"/>
    </row>
    <row r="70" spans="1:21">
      <c r="A70" s="5" t="s">
        <v>141</v>
      </c>
      <c r="B70" s="20" t="s">
        <v>134</v>
      </c>
      <c r="C70" s="20"/>
      <c r="D70" s="7"/>
      <c r="E70" s="9"/>
      <c r="F70" s="9"/>
      <c r="G70" s="9"/>
      <c r="H70" s="9"/>
      <c r="I70" s="9"/>
      <c r="J70" s="9"/>
      <c r="K70" s="9">
        <v>560</v>
      </c>
      <c r="L70" s="9">
        <v>578</v>
      </c>
      <c r="M70" s="9">
        <v>513</v>
      </c>
      <c r="N70" s="9">
        <v>528</v>
      </c>
      <c r="O70" s="9"/>
      <c r="P70" s="9"/>
      <c r="Q70" s="9">
        <v>205</v>
      </c>
      <c r="R70" s="9"/>
      <c r="S70" s="9">
        <v>341</v>
      </c>
      <c r="T70" s="8">
        <f t="shared" si="45"/>
        <v>2725</v>
      </c>
      <c r="U70" s="7"/>
    </row>
    <row r="71" spans="1:21">
      <c r="A71" s="5" t="s">
        <v>142</v>
      </c>
      <c r="B71" s="20" t="s">
        <v>136</v>
      </c>
      <c r="C71" s="20"/>
      <c r="D71" s="7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8">
        <f t="shared" si="45"/>
        <v>0</v>
      </c>
      <c r="U71" s="7"/>
    </row>
    <row r="72" spans="1:21">
      <c r="A72" s="5" t="s">
        <v>143</v>
      </c>
      <c r="B72" s="6" t="s">
        <v>218</v>
      </c>
      <c r="C72" s="6"/>
      <c r="D72" s="7"/>
      <c r="E72" s="9">
        <v>90</v>
      </c>
      <c r="F72" s="9">
        <v>57</v>
      </c>
      <c r="G72" s="9">
        <v>79</v>
      </c>
      <c r="H72" s="9">
        <v>51</v>
      </c>
      <c r="I72" s="9">
        <v>26</v>
      </c>
      <c r="J72" s="9"/>
      <c r="K72" s="9">
        <v>13</v>
      </c>
      <c r="L72" s="9">
        <v>21</v>
      </c>
      <c r="M72" s="9">
        <v>6</v>
      </c>
      <c r="N72" s="9">
        <v>1</v>
      </c>
      <c r="O72" s="9">
        <v>6</v>
      </c>
      <c r="P72" s="9">
        <v>4</v>
      </c>
      <c r="Q72" s="9"/>
      <c r="R72" s="9">
        <v>7</v>
      </c>
      <c r="S72" s="9">
        <v>11</v>
      </c>
      <c r="T72" s="8">
        <f t="shared" si="45"/>
        <v>372</v>
      </c>
      <c r="U72" s="7"/>
    </row>
    <row r="73" spans="1:21">
      <c r="A73" s="5" t="s">
        <v>144</v>
      </c>
      <c r="B73" s="20" t="s">
        <v>219</v>
      </c>
      <c r="C73" s="20"/>
      <c r="D73" s="11"/>
      <c r="E73" s="9">
        <v>32622</v>
      </c>
      <c r="F73" s="9">
        <v>9046</v>
      </c>
      <c r="G73" s="9">
        <v>13627</v>
      </c>
      <c r="H73" s="9">
        <v>17902</v>
      </c>
      <c r="I73" s="9">
        <v>25772.240000000002</v>
      </c>
      <c r="J73" s="9">
        <v>13105.71</v>
      </c>
      <c r="K73" s="9">
        <f>10602.95+3127.29</f>
        <v>13730.240000000002</v>
      </c>
      <c r="L73" s="9">
        <f>6627.96+9667-2106.42</f>
        <v>14188.539999999999</v>
      </c>
      <c r="M73" s="9">
        <v>11478.41</v>
      </c>
      <c r="N73" s="9">
        <v>9116.92</v>
      </c>
      <c r="O73" s="9">
        <v>18924.89</v>
      </c>
      <c r="P73" s="9">
        <v>2300</v>
      </c>
      <c r="Q73" s="9">
        <v>4357</v>
      </c>
      <c r="R73" s="9">
        <v>13284.58</v>
      </c>
      <c r="S73" s="9">
        <f>2564.98+1394.54</f>
        <v>3959.52</v>
      </c>
      <c r="T73" s="8">
        <f t="shared" si="45"/>
        <v>203415.05</v>
      </c>
      <c r="U73" s="7"/>
    </row>
    <row r="74" spans="1:21">
      <c r="A74" s="5" t="s">
        <v>145</v>
      </c>
      <c r="B74" s="20" t="s">
        <v>220</v>
      </c>
      <c r="C74" s="20"/>
      <c r="D74" s="11"/>
      <c r="E74" s="9">
        <v>29824</v>
      </c>
      <c r="F74" s="9">
        <v>8662</v>
      </c>
      <c r="G74" s="9">
        <v>8000</v>
      </c>
      <c r="H74" s="9">
        <v>8000</v>
      </c>
      <c r="I74" s="9">
        <v>15855</v>
      </c>
      <c r="J74" s="9">
        <v>4669</v>
      </c>
      <c r="K74" s="9">
        <f>4900+1492</f>
        <v>6392</v>
      </c>
      <c r="L74" s="9">
        <f>4663.8+2548.8-1040</f>
        <v>6172.6</v>
      </c>
      <c r="M74" s="9">
        <v>6585.2</v>
      </c>
      <c r="N74" s="9">
        <v>3060</v>
      </c>
      <c r="O74" s="9">
        <v>13460</v>
      </c>
      <c r="P74" s="9"/>
      <c r="Q74" s="9">
        <v>1505</v>
      </c>
      <c r="R74" s="9">
        <v>6784</v>
      </c>
      <c r="S74" s="9">
        <v>4013</v>
      </c>
      <c r="T74" s="8">
        <f t="shared" si="45"/>
        <v>122981.8</v>
      </c>
      <c r="U74" s="7"/>
    </row>
  </sheetData>
  <protectedRanges>
    <protectedRange password="E9C1" sqref="D30 C31 A5:D6 B7:D29 B32:D74 T5:U74 A7:A74 A2:U4" name="区域1_1"/>
    <protectedRange password="E9C1" sqref="B30:C30 B31" name="区域1_1_1"/>
    <protectedRange password="E9C1" sqref="D31" name="区域1_2"/>
  </protectedRanges>
  <mergeCells count="7">
    <mergeCell ref="A1:U1"/>
    <mergeCell ref="A2:A3"/>
    <mergeCell ref="B2:B3"/>
    <mergeCell ref="C2:C3"/>
    <mergeCell ref="D2:D3"/>
    <mergeCell ref="T2:T3"/>
    <mergeCell ref="U2:U3"/>
  </mergeCells>
  <phoneticPr fontId="2" type="noConversion"/>
  <pageMargins left="0.7" right="0.7" top="0.75" bottom="0.75" header="0.3" footer="0.3"/>
  <drawing r:id="rId1"/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>
  <dimension ref="A1:Q74"/>
  <sheetViews>
    <sheetView workbookViewId="0">
      <selection activeCell="G7" sqref="G7"/>
    </sheetView>
  </sheetViews>
  <sheetFormatPr defaultRowHeight="11.25"/>
  <cols>
    <col min="1" max="1" width="9" style="21"/>
    <col min="2" max="2" width="21.25" style="3" customWidth="1"/>
    <col min="3" max="3" width="9" style="3"/>
    <col min="4" max="4" width="9" style="22"/>
    <col min="5" max="5" width="11.875" style="3" customWidth="1"/>
    <col min="6" max="6" width="12" style="3" customWidth="1"/>
    <col min="7" max="7" width="13.125" style="3" customWidth="1"/>
    <col min="8" max="8" width="11" style="3" customWidth="1"/>
    <col min="9" max="9" width="11.25" style="3" customWidth="1"/>
    <col min="10" max="10" width="12" style="3" customWidth="1"/>
    <col min="11" max="11" width="12.75" style="3" customWidth="1"/>
    <col min="12" max="12" width="12.875" style="3" customWidth="1"/>
    <col min="13" max="13" width="12.5" style="3" customWidth="1"/>
    <col min="14" max="15" width="9" style="3"/>
    <col min="16" max="16" width="12.75" style="3" customWidth="1"/>
    <col min="17" max="16384" width="9" style="3"/>
  </cols>
  <sheetData>
    <row r="1" spans="1:17" ht="25.5">
      <c r="A1" s="92" t="s">
        <v>0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</row>
    <row r="2" spans="1:17">
      <c r="A2" s="93" t="s">
        <v>1</v>
      </c>
      <c r="B2" s="93" t="s">
        <v>2</v>
      </c>
      <c r="C2" s="93" t="s">
        <v>3</v>
      </c>
      <c r="D2" s="93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93" t="s">
        <v>16</v>
      </c>
      <c r="Q2" s="93" t="s">
        <v>17</v>
      </c>
    </row>
    <row r="3" spans="1:17">
      <c r="A3" s="94"/>
      <c r="B3" s="94"/>
      <c r="C3" s="94"/>
      <c r="D3" s="94"/>
      <c r="E3" s="4" t="s">
        <v>261</v>
      </c>
      <c r="F3" s="4" t="s">
        <v>261</v>
      </c>
      <c r="G3" s="4" t="s">
        <v>262</v>
      </c>
      <c r="H3" s="4" t="s">
        <v>263</v>
      </c>
      <c r="I3" s="4" t="s">
        <v>263</v>
      </c>
      <c r="J3" s="4" t="s">
        <v>264</v>
      </c>
      <c r="K3" s="4" t="s">
        <v>264</v>
      </c>
      <c r="L3" s="4" t="s">
        <v>264</v>
      </c>
      <c r="M3" s="4" t="s">
        <v>264</v>
      </c>
      <c r="N3" s="4" t="s">
        <v>264</v>
      </c>
      <c r="O3" s="4" t="s">
        <v>265</v>
      </c>
      <c r="P3" s="94"/>
      <c r="Q3" s="94"/>
    </row>
    <row r="4" spans="1:17">
      <c r="A4" s="5" t="s">
        <v>18</v>
      </c>
      <c r="B4" s="6" t="s">
        <v>19</v>
      </c>
      <c r="C4" s="6"/>
      <c r="D4" s="7" t="s">
        <v>20</v>
      </c>
      <c r="E4" s="8">
        <f>E5+E32+E39</f>
        <v>30154797.73</v>
      </c>
      <c r="F4" s="8">
        <f t="shared" ref="F4:O4" si="0">F5+F32+F39</f>
        <v>24836510.539999999</v>
      </c>
      <c r="G4" s="8">
        <f t="shared" si="0"/>
        <v>43439258.180000007</v>
      </c>
      <c r="H4" s="8">
        <f t="shared" si="0"/>
        <v>27684407.149999999</v>
      </c>
      <c r="I4" s="8">
        <f t="shared" si="0"/>
        <v>36771180.399999999</v>
      </c>
      <c r="J4" s="8">
        <f t="shared" si="0"/>
        <v>18906435.25</v>
      </c>
      <c r="K4" s="8">
        <f t="shared" si="0"/>
        <v>15463558.75</v>
      </c>
      <c r="L4" s="8">
        <f t="shared" si="0"/>
        <v>13412910.6</v>
      </c>
      <c r="M4" s="8">
        <f t="shared" si="0"/>
        <v>16006868.25</v>
      </c>
      <c r="N4" s="8">
        <f t="shared" si="0"/>
        <v>4173989.6</v>
      </c>
      <c r="O4" s="8">
        <f t="shared" si="0"/>
        <v>1593001</v>
      </c>
      <c r="P4" s="8">
        <f t="shared" ref="P4:P67" si="1">SUM(E4:O4)</f>
        <v>232442917.44999999</v>
      </c>
      <c r="Q4" s="7"/>
    </row>
    <row r="5" spans="1:17">
      <c r="A5" s="5" t="s">
        <v>21</v>
      </c>
      <c r="B5" s="6" t="s">
        <v>22</v>
      </c>
      <c r="C5" s="6"/>
      <c r="D5" s="7" t="s">
        <v>20</v>
      </c>
      <c r="E5" s="8">
        <f>E6+E9+E13+E16+E21+E26+E28+E30+E31</f>
        <v>23917606</v>
      </c>
      <c r="F5" s="8">
        <f t="shared" ref="F5:O5" si="2">F6+F9+F13+F16+F21+F26+F28+F30+F31</f>
        <v>20114244.189999998</v>
      </c>
      <c r="G5" s="8">
        <f t="shared" si="2"/>
        <v>36726193.980000004</v>
      </c>
      <c r="H5" s="8">
        <f t="shared" si="2"/>
        <v>22985614</v>
      </c>
      <c r="I5" s="8">
        <f t="shared" si="2"/>
        <v>29030390</v>
      </c>
      <c r="J5" s="8">
        <f t="shared" si="2"/>
        <v>16266862</v>
      </c>
      <c r="K5" s="8">
        <f t="shared" si="2"/>
        <v>13289648</v>
      </c>
      <c r="L5" s="8">
        <f t="shared" si="2"/>
        <v>10860044</v>
      </c>
      <c r="M5" s="8">
        <f t="shared" si="2"/>
        <v>13881340</v>
      </c>
      <c r="N5" s="8">
        <f t="shared" si="2"/>
        <v>3057604</v>
      </c>
      <c r="O5" s="8">
        <f t="shared" si="2"/>
        <v>1465176</v>
      </c>
      <c r="P5" s="8">
        <f t="shared" si="1"/>
        <v>191594722.17000002</v>
      </c>
      <c r="Q5" s="7"/>
    </row>
    <row r="6" spans="1:17">
      <c r="A6" s="5" t="s">
        <v>23</v>
      </c>
      <c r="B6" s="6" t="s">
        <v>24</v>
      </c>
      <c r="C6" s="6"/>
      <c r="D6" s="7" t="s">
        <v>20</v>
      </c>
      <c r="E6" s="8">
        <f>E7+E8</f>
        <v>3292774</v>
      </c>
      <c r="F6" s="8">
        <f t="shared" ref="F6:O6" si="3">F7+F8</f>
        <v>2532904.19</v>
      </c>
      <c r="G6" s="8">
        <f t="shared" si="3"/>
        <v>5540871.9800000004</v>
      </c>
      <c r="H6" s="8">
        <f t="shared" si="3"/>
        <v>3554670</v>
      </c>
      <c r="I6" s="8">
        <f t="shared" si="3"/>
        <v>4590400</v>
      </c>
      <c r="J6" s="8">
        <f t="shared" si="3"/>
        <v>2544650</v>
      </c>
      <c r="K6" s="8">
        <f t="shared" si="3"/>
        <v>2084060</v>
      </c>
      <c r="L6" s="8">
        <f t="shared" si="3"/>
        <v>1706090</v>
      </c>
      <c r="M6" s="8">
        <f t="shared" si="3"/>
        <v>2267950</v>
      </c>
      <c r="N6" s="8">
        <f t="shared" si="3"/>
        <v>529370</v>
      </c>
      <c r="O6" s="8">
        <f t="shared" si="3"/>
        <v>244530</v>
      </c>
      <c r="P6" s="8">
        <f t="shared" si="1"/>
        <v>28888270.170000002</v>
      </c>
      <c r="Q6" s="7"/>
    </row>
    <row r="7" spans="1:17" ht="22.5">
      <c r="A7" s="5" t="s">
        <v>25</v>
      </c>
      <c r="B7" s="6" t="s">
        <v>26</v>
      </c>
      <c r="C7" s="6" t="s">
        <v>27</v>
      </c>
      <c r="D7" s="7" t="s">
        <v>28</v>
      </c>
      <c r="E7" s="9">
        <f>1999030-363306</f>
        <v>1635724</v>
      </c>
      <c r="F7" s="9">
        <f>1780020-681135.81</f>
        <v>1098884.19</v>
      </c>
      <c r="G7" s="9">
        <f>3001980-385088.02</f>
        <v>2616891.98</v>
      </c>
      <c r="H7" s="9">
        <v>1855570</v>
      </c>
      <c r="I7" s="9">
        <v>2451670</v>
      </c>
      <c r="J7" s="9">
        <v>1471220</v>
      </c>
      <c r="K7" s="9">
        <v>1185030</v>
      </c>
      <c r="L7" s="9">
        <v>961230</v>
      </c>
      <c r="M7" s="9">
        <v>1274280</v>
      </c>
      <c r="N7" s="9">
        <v>312440</v>
      </c>
      <c r="O7" s="9">
        <v>132550</v>
      </c>
      <c r="P7" s="8">
        <f t="shared" si="1"/>
        <v>14995490.17</v>
      </c>
      <c r="Q7" s="10"/>
    </row>
    <row r="8" spans="1:17" ht="22.5">
      <c r="A8" s="5" t="s">
        <v>29</v>
      </c>
      <c r="B8" s="6" t="s">
        <v>30</v>
      </c>
      <c r="C8" s="6" t="s">
        <v>27</v>
      </c>
      <c r="D8" s="7" t="s">
        <v>28</v>
      </c>
      <c r="E8" s="9">
        <v>1657050</v>
      </c>
      <c r="F8" s="9">
        <v>1434020</v>
      </c>
      <c r="G8" s="9">
        <v>2923980</v>
      </c>
      <c r="H8" s="9">
        <v>1699100</v>
      </c>
      <c r="I8" s="9">
        <v>2138730</v>
      </c>
      <c r="J8" s="9">
        <v>1073430</v>
      </c>
      <c r="K8" s="9">
        <v>899030</v>
      </c>
      <c r="L8" s="9">
        <v>744860</v>
      </c>
      <c r="M8" s="9">
        <v>993670</v>
      </c>
      <c r="N8" s="9">
        <v>216930</v>
      </c>
      <c r="O8" s="9">
        <v>111980</v>
      </c>
      <c r="P8" s="8">
        <f t="shared" si="1"/>
        <v>13892780</v>
      </c>
      <c r="Q8" s="7"/>
    </row>
    <row r="9" spans="1:17">
      <c r="A9" s="5" t="s">
        <v>31</v>
      </c>
      <c r="B9" s="6" t="s">
        <v>32</v>
      </c>
      <c r="C9" s="6"/>
      <c r="D9" s="7" t="s">
        <v>20</v>
      </c>
      <c r="E9" s="8">
        <f>E10+E11</f>
        <v>343080</v>
      </c>
      <c r="F9" s="8">
        <f t="shared" ref="F9:O9" si="4">F10+F11</f>
        <v>284040</v>
      </c>
      <c r="G9" s="8">
        <f t="shared" si="4"/>
        <v>526170</v>
      </c>
      <c r="H9" s="8">
        <f t="shared" si="4"/>
        <v>332352</v>
      </c>
      <c r="I9" s="8">
        <f t="shared" si="4"/>
        <v>423204</v>
      </c>
      <c r="J9" s="8">
        <f t="shared" si="4"/>
        <v>267620</v>
      </c>
      <c r="K9" s="8">
        <f t="shared" si="4"/>
        <v>214168</v>
      </c>
      <c r="L9" s="8">
        <f t="shared" si="4"/>
        <v>171432</v>
      </c>
      <c r="M9" s="8">
        <f t="shared" si="4"/>
        <v>219924</v>
      </c>
      <c r="N9" s="8">
        <f t="shared" si="4"/>
        <v>48228</v>
      </c>
      <c r="O9" s="8">
        <f t="shared" si="4"/>
        <v>21396</v>
      </c>
      <c r="P9" s="8">
        <f t="shared" si="1"/>
        <v>2851614</v>
      </c>
      <c r="Q9" s="7"/>
    </row>
    <row r="10" spans="1:17" ht="22.5">
      <c r="A10" s="5" t="s">
        <v>33</v>
      </c>
      <c r="B10" s="6" t="s">
        <v>34</v>
      </c>
      <c r="C10" s="6" t="s">
        <v>27</v>
      </c>
      <c r="D10" s="7" t="s">
        <v>28</v>
      </c>
      <c r="E10" s="9">
        <v>5160</v>
      </c>
      <c r="F10" s="9">
        <v>4200</v>
      </c>
      <c r="G10" s="9">
        <v>8730</v>
      </c>
      <c r="H10" s="9">
        <v>4992</v>
      </c>
      <c r="I10" s="9">
        <v>6084</v>
      </c>
      <c r="J10" s="9">
        <v>3620</v>
      </c>
      <c r="K10" s="9">
        <v>2968</v>
      </c>
      <c r="L10" s="9">
        <v>2472</v>
      </c>
      <c r="M10" s="9">
        <v>3444</v>
      </c>
      <c r="N10" s="9">
        <v>708</v>
      </c>
      <c r="O10" s="9">
        <v>276</v>
      </c>
      <c r="P10" s="8">
        <f t="shared" si="1"/>
        <v>42654</v>
      </c>
      <c r="Q10" s="7"/>
    </row>
    <row r="11" spans="1:17">
      <c r="A11" s="5" t="s">
        <v>35</v>
      </c>
      <c r="B11" s="6" t="s">
        <v>36</v>
      </c>
      <c r="C11" s="6"/>
      <c r="D11" s="7" t="s">
        <v>20</v>
      </c>
      <c r="E11" s="8">
        <f>E12</f>
        <v>337920</v>
      </c>
      <c r="F11" s="8">
        <f t="shared" ref="F11:O11" si="5">F12</f>
        <v>279840</v>
      </c>
      <c r="G11" s="8">
        <f t="shared" si="5"/>
        <v>517440</v>
      </c>
      <c r="H11" s="8">
        <f t="shared" si="5"/>
        <v>327360</v>
      </c>
      <c r="I11" s="8">
        <f t="shared" si="5"/>
        <v>417120</v>
      </c>
      <c r="J11" s="8">
        <f t="shared" si="5"/>
        <v>264000</v>
      </c>
      <c r="K11" s="8">
        <f t="shared" si="5"/>
        <v>211200</v>
      </c>
      <c r="L11" s="8">
        <f t="shared" si="5"/>
        <v>168960</v>
      </c>
      <c r="M11" s="8">
        <f t="shared" si="5"/>
        <v>216480</v>
      </c>
      <c r="N11" s="8">
        <f t="shared" si="5"/>
        <v>47520</v>
      </c>
      <c r="O11" s="8">
        <f t="shared" si="5"/>
        <v>21120</v>
      </c>
      <c r="P11" s="8">
        <f t="shared" si="1"/>
        <v>2808960</v>
      </c>
      <c r="Q11" s="7"/>
    </row>
    <row r="12" spans="1:17">
      <c r="A12" s="5" t="s">
        <v>37</v>
      </c>
      <c r="B12" s="6" t="s">
        <v>266</v>
      </c>
      <c r="C12" s="6" t="s">
        <v>27</v>
      </c>
      <c r="D12" s="7" t="s">
        <v>20</v>
      </c>
      <c r="E12" s="8">
        <f>440*12*E62</f>
        <v>337920</v>
      </c>
      <c r="F12" s="8">
        <f t="shared" ref="F12:O12" si="6">440*12*F62</f>
        <v>279840</v>
      </c>
      <c r="G12" s="8">
        <f t="shared" si="6"/>
        <v>517440</v>
      </c>
      <c r="H12" s="8">
        <f t="shared" si="6"/>
        <v>327360</v>
      </c>
      <c r="I12" s="8">
        <f t="shared" si="6"/>
        <v>417120</v>
      </c>
      <c r="J12" s="8">
        <f t="shared" si="6"/>
        <v>264000</v>
      </c>
      <c r="K12" s="8">
        <f t="shared" si="6"/>
        <v>211200</v>
      </c>
      <c r="L12" s="8">
        <f t="shared" si="6"/>
        <v>168960</v>
      </c>
      <c r="M12" s="8">
        <f t="shared" si="6"/>
        <v>216480</v>
      </c>
      <c r="N12" s="8">
        <f t="shared" si="6"/>
        <v>47520</v>
      </c>
      <c r="O12" s="8">
        <f t="shared" si="6"/>
        <v>21120</v>
      </c>
      <c r="P12" s="8">
        <f t="shared" si="1"/>
        <v>2808960</v>
      </c>
      <c r="Q12" s="7"/>
    </row>
    <row r="13" spans="1:17" ht="33.75">
      <c r="A13" s="5" t="s">
        <v>38</v>
      </c>
      <c r="B13" s="6" t="s">
        <v>39</v>
      </c>
      <c r="C13" s="6"/>
      <c r="D13" s="7" t="s">
        <v>40</v>
      </c>
      <c r="E13" s="8">
        <f>E14+E15</f>
        <v>168588</v>
      </c>
      <c r="F13" s="8">
        <f t="shared" ref="F13:O13" si="7">F14+F15</f>
        <v>146000</v>
      </c>
      <c r="G13" s="8">
        <f t="shared" si="7"/>
        <v>256428</v>
      </c>
      <c r="H13" s="8">
        <f t="shared" si="7"/>
        <v>158256</v>
      </c>
      <c r="I13" s="8">
        <f t="shared" si="7"/>
        <v>196954</v>
      </c>
      <c r="J13" s="8">
        <f t="shared" si="7"/>
        <v>111440</v>
      </c>
      <c r="K13" s="8">
        <f t="shared" si="7"/>
        <v>90716</v>
      </c>
      <c r="L13" s="8">
        <f t="shared" si="7"/>
        <v>78030</v>
      </c>
      <c r="M13" s="8">
        <f t="shared" si="7"/>
        <v>96890</v>
      </c>
      <c r="N13" s="8">
        <f t="shared" si="7"/>
        <v>20610</v>
      </c>
      <c r="O13" s="8">
        <f t="shared" si="7"/>
        <v>9850</v>
      </c>
      <c r="P13" s="8">
        <f t="shared" si="1"/>
        <v>1333762</v>
      </c>
      <c r="Q13" s="7"/>
    </row>
    <row r="14" spans="1:17" ht="22.5">
      <c r="A14" s="5" t="s">
        <v>41</v>
      </c>
      <c r="B14" s="6" t="s">
        <v>267</v>
      </c>
      <c r="C14" s="6" t="s">
        <v>27</v>
      </c>
      <c r="D14" s="7" t="s">
        <v>42</v>
      </c>
      <c r="E14" s="8">
        <f>ROUND(E30/0.07*0.005,2)</f>
        <v>84294</v>
      </c>
      <c r="F14" s="8">
        <f t="shared" ref="F14:O14" si="8">ROUND(F30/0.07*0.005,2)</f>
        <v>73000</v>
      </c>
      <c r="G14" s="8">
        <f t="shared" si="8"/>
        <v>128214</v>
      </c>
      <c r="H14" s="8">
        <f t="shared" si="8"/>
        <v>79128</v>
      </c>
      <c r="I14" s="8">
        <f t="shared" si="8"/>
        <v>98477</v>
      </c>
      <c r="J14" s="8">
        <f t="shared" si="8"/>
        <v>55720</v>
      </c>
      <c r="K14" s="8">
        <f t="shared" si="8"/>
        <v>45358</v>
      </c>
      <c r="L14" s="8">
        <f t="shared" si="8"/>
        <v>39015</v>
      </c>
      <c r="M14" s="8">
        <f t="shared" si="8"/>
        <v>48445</v>
      </c>
      <c r="N14" s="8">
        <f t="shared" si="8"/>
        <v>10305</v>
      </c>
      <c r="O14" s="8">
        <f t="shared" si="8"/>
        <v>4925</v>
      </c>
      <c r="P14" s="8">
        <f t="shared" si="1"/>
        <v>666881</v>
      </c>
      <c r="Q14" s="7"/>
    </row>
    <row r="15" spans="1:17" ht="22.5">
      <c r="A15" s="5" t="s">
        <v>43</v>
      </c>
      <c r="B15" s="6" t="s">
        <v>268</v>
      </c>
      <c r="C15" s="6" t="s">
        <v>27</v>
      </c>
      <c r="D15" s="7" t="s">
        <v>42</v>
      </c>
      <c r="E15" s="8">
        <f>ROUND(E30/0.07*0.005,2)</f>
        <v>84294</v>
      </c>
      <c r="F15" s="8">
        <f t="shared" ref="F15:O15" si="9">ROUND(F30/0.07*0.005,2)</f>
        <v>73000</v>
      </c>
      <c r="G15" s="8">
        <f t="shared" si="9"/>
        <v>128214</v>
      </c>
      <c r="H15" s="8">
        <f t="shared" si="9"/>
        <v>79128</v>
      </c>
      <c r="I15" s="8">
        <f t="shared" si="9"/>
        <v>98477</v>
      </c>
      <c r="J15" s="8">
        <f t="shared" si="9"/>
        <v>55720</v>
      </c>
      <c r="K15" s="8">
        <f t="shared" si="9"/>
        <v>45358</v>
      </c>
      <c r="L15" s="8">
        <f t="shared" si="9"/>
        <v>39015</v>
      </c>
      <c r="M15" s="8">
        <f t="shared" si="9"/>
        <v>48445</v>
      </c>
      <c r="N15" s="8">
        <f t="shared" si="9"/>
        <v>10305</v>
      </c>
      <c r="O15" s="8">
        <f t="shared" si="9"/>
        <v>4925</v>
      </c>
      <c r="P15" s="8">
        <f t="shared" si="1"/>
        <v>666881</v>
      </c>
      <c r="Q15" s="7"/>
    </row>
    <row r="16" spans="1:17">
      <c r="A16" s="5" t="s">
        <v>44</v>
      </c>
      <c r="B16" s="6" t="s">
        <v>45</v>
      </c>
      <c r="C16" s="6"/>
      <c r="D16" s="7" t="s">
        <v>20</v>
      </c>
      <c r="E16" s="8">
        <f>E17+E18+E19+E20</f>
        <v>12695292</v>
      </c>
      <c r="F16" s="8">
        <f t="shared" ref="F16:L16" si="10">F17+F18+F19+F20</f>
        <v>10727300</v>
      </c>
      <c r="G16" s="8">
        <f t="shared" si="10"/>
        <v>19119892</v>
      </c>
      <c r="H16" s="8">
        <f t="shared" si="10"/>
        <v>11977072</v>
      </c>
      <c r="I16" s="8">
        <f t="shared" si="10"/>
        <v>15153856</v>
      </c>
      <c r="J16" s="8">
        <f t="shared" si="10"/>
        <v>8439792</v>
      </c>
      <c r="K16" s="8">
        <f t="shared" si="10"/>
        <v>6909200</v>
      </c>
      <c r="L16" s="8">
        <f t="shared" si="10"/>
        <v>5471172</v>
      </c>
      <c r="M16" s="8">
        <f>M17+M18+M19+M20</f>
        <v>7033416</v>
      </c>
      <c r="N16" s="8">
        <f>N17+N18+N19+N20</f>
        <v>1552556</v>
      </c>
      <c r="O16" s="8">
        <f>O17+O18+O19+O20</f>
        <v>756000</v>
      </c>
      <c r="P16" s="8">
        <f t="shared" si="1"/>
        <v>99835548</v>
      </c>
      <c r="Q16" s="7"/>
    </row>
    <row r="17" spans="1:17" ht="22.5">
      <c r="A17" s="5" t="s">
        <v>46</v>
      </c>
      <c r="B17" s="6" t="s">
        <v>47</v>
      </c>
      <c r="C17" s="6" t="s">
        <v>27</v>
      </c>
      <c r="D17" s="7" t="s">
        <v>269</v>
      </c>
      <c r="E17" s="9">
        <v>11414500</v>
      </c>
      <c r="F17" s="9">
        <v>9620000</v>
      </c>
      <c r="G17" s="9">
        <v>17308200</v>
      </c>
      <c r="H17" s="9">
        <v>10736000</v>
      </c>
      <c r="I17" s="9">
        <v>13552000</v>
      </c>
      <c r="J17" s="9">
        <v>7889000</v>
      </c>
      <c r="K17" s="9">
        <v>6396000</v>
      </c>
      <c r="L17" s="9">
        <v>4991000</v>
      </c>
      <c r="M17" s="9">
        <v>6510800</v>
      </c>
      <c r="N17" s="9">
        <v>1288000</v>
      </c>
      <c r="O17" s="9">
        <v>732000</v>
      </c>
      <c r="P17" s="8">
        <f t="shared" si="1"/>
        <v>90437500</v>
      </c>
      <c r="Q17" s="7"/>
    </row>
    <row r="18" spans="1:17" ht="33.75">
      <c r="A18" s="5" t="s">
        <v>48</v>
      </c>
      <c r="B18" s="6" t="s">
        <v>49</v>
      </c>
      <c r="C18" s="6" t="s">
        <v>27</v>
      </c>
      <c r="D18" s="7" t="s">
        <v>50</v>
      </c>
      <c r="E18" s="9">
        <v>256792</v>
      </c>
      <c r="F18" s="9">
        <v>259300</v>
      </c>
      <c r="G18" s="9">
        <v>243692</v>
      </c>
      <c r="H18" s="9">
        <v>249072</v>
      </c>
      <c r="I18" s="9">
        <v>337856</v>
      </c>
      <c r="J18" s="9">
        <v>250792</v>
      </c>
      <c r="K18" s="9">
        <v>273200</v>
      </c>
      <c r="L18" s="9">
        <v>288172</v>
      </c>
      <c r="M18" s="9">
        <v>276616</v>
      </c>
      <c r="N18" s="9">
        <v>210556</v>
      </c>
      <c r="O18" s="9"/>
      <c r="P18" s="8">
        <f t="shared" si="1"/>
        <v>2646048</v>
      </c>
      <c r="Q18" s="7"/>
    </row>
    <row r="19" spans="1:17">
      <c r="A19" s="5" t="s">
        <v>51</v>
      </c>
      <c r="B19" s="6" t="s">
        <v>270</v>
      </c>
      <c r="C19" s="6" t="s">
        <v>27</v>
      </c>
      <c r="D19" s="7" t="s">
        <v>20</v>
      </c>
      <c r="E19" s="8">
        <f>E62*500*12</f>
        <v>384000</v>
      </c>
      <c r="F19" s="8">
        <f t="shared" ref="F19:O19" si="11">F62*500*12</f>
        <v>318000</v>
      </c>
      <c r="G19" s="8">
        <f t="shared" si="11"/>
        <v>588000</v>
      </c>
      <c r="H19" s="8">
        <f t="shared" si="11"/>
        <v>372000</v>
      </c>
      <c r="I19" s="8">
        <f t="shared" si="11"/>
        <v>474000</v>
      </c>
      <c r="J19" s="8">
        <f t="shared" si="11"/>
        <v>300000</v>
      </c>
      <c r="K19" s="8">
        <f t="shared" si="11"/>
        <v>240000</v>
      </c>
      <c r="L19" s="8">
        <f t="shared" si="11"/>
        <v>192000</v>
      </c>
      <c r="M19" s="8">
        <f t="shared" si="11"/>
        <v>246000</v>
      </c>
      <c r="N19" s="8">
        <f t="shared" si="11"/>
        <v>54000</v>
      </c>
      <c r="O19" s="8">
        <f t="shared" si="11"/>
        <v>24000</v>
      </c>
      <c r="P19" s="8">
        <f t="shared" si="1"/>
        <v>3192000</v>
      </c>
      <c r="Q19" s="7"/>
    </row>
    <row r="20" spans="1:17" ht="22.5">
      <c r="A20" s="5" t="s">
        <v>52</v>
      </c>
      <c r="B20" s="6" t="s">
        <v>271</v>
      </c>
      <c r="C20" s="6" t="s">
        <v>27</v>
      </c>
      <c r="D20" s="7" t="s">
        <v>28</v>
      </c>
      <c r="E20" s="9">
        <v>640000</v>
      </c>
      <c r="F20" s="9">
        <v>530000</v>
      </c>
      <c r="G20" s="9">
        <v>980000</v>
      </c>
      <c r="H20" s="9">
        <v>620000</v>
      </c>
      <c r="I20" s="9">
        <v>790000</v>
      </c>
      <c r="J20" s="9"/>
      <c r="K20" s="9"/>
      <c r="L20" s="9"/>
      <c r="M20" s="9"/>
      <c r="N20" s="9"/>
      <c r="O20" s="9"/>
      <c r="P20" s="8">
        <f t="shared" si="1"/>
        <v>3560000</v>
      </c>
      <c r="Q20" s="7"/>
    </row>
    <row r="21" spans="1:17">
      <c r="A21" s="5" t="s">
        <v>53</v>
      </c>
      <c r="B21" s="6" t="s">
        <v>54</v>
      </c>
      <c r="C21" s="6"/>
      <c r="D21" s="7" t="s">
        <v>20</v>
      </c>
      <c r="E21" s="8">
        <f>E22+E23</f>
        <v>2191644</v>
      </c>
      <c r="F21" s="8">
        <f t="shared" ref="F21:O21" si="12">F22+F23</f>
        <v>1898000</v>
      </c>
      <c r="G21" s="8">
        <f t="shared" si="12"/>
        <v>3333564</v>
      </c>
      <c r="H21" s="8">
        <f t="shared" si="12"/>
        <v>2057328</v>
      </c>
      <c r="I21" s="8">
        <f t="shared" si="12"/>
        <v>2560402</v>
      </c>
      <c r="J21" s="8">
        <f t="shared" si="12"/>
        <v>1448720</v>
      </c>
      <c r="K21" s="8">
        <f t="shared" si="12"/>
        <v>1179308</v>
      </c>
      <c r="L21" s="8">
        <f t="shared" si="12"/>
        <v>1014390</v>
      </c>
      <c r="M21" s="8">
        <f t="shared" si="12"/>
        <v>1259570</v>
      </c>
      <c r="N21" s="8">
        <f t="shared" si="12"/>
        <v>267930</v>
      </c>
      <c r="O21" s="8">
        <f t="shared" si="12"/>
        <v>128050</v>
      </c>
      <c r="P21" s="8">
        <f t="shared" si="1"/>
        <v>17338906</v>
      </c>
      <c r="Q21" s="7"/>
    </row>
    <row r="22" spans="1:17">
      <c r="A22" s="5" t="s">
        <v>55</v>
      </c>
      <c r="B22" s="6" t="s">
        <v>272</v>
      </c>
      <c r="C22" s="6" t="s">
        <v>56</v>
      </c>
      <c r="D22" s="7" t="s">
        <v>20</v>
      </c>
      <c r="E22" s="8">
        <f>ROUND(E30/0.07*0.09,2)</f>
        <v>1517292</v>
      </c>
      <c r="F22" s="8">
        <f t="shared" ref="F22:O22" si="13">ROUND(F30/0.07*0.09,2)</f>
        <v>1314000</v>
      </c>
      <c r="G22" s="8">
        <f t="shared" si="13"/>
        <v>2307852</v>
      </c>
      <c r="H22" s="8">
        <f t="shared" si="13"/>
        <v>1424304</v>
      </c>
      <c r="I22" s="8">
        <f t="shared" si="13"/>
        <v>1772586</v>
      </c>
      <c r="J22" s="8">
        <f t="shared" si="13"/>
        <v>1002960</v>
      </c>
      <c r="K22" s="8">
        <f t="shared" si="13"/>
        <v>816444</v>
      </c>
      <c r="L22" s="8">
        <f t="shared" si="13"/>
        <v>702270</v>
      </c>
      <c r="M22" s="8">
        <f t="shared" si="13"/>
        <v>872010</v>
      </c>
      <c r="N22" s="8">
        <f t="shared" si="13"/>
        <v>185490</v>
      </c>
      <c r="O22" s="8">
        <f t="shared" si="13"/>
        <v>88650</v>
      </c>
      <c r="P22" s="8">
        <f t="shared" si="1"/>
        <v>12003858</v>
      </c>
      <c r="Q22" s="7"/>
    </row>
    <row r="23" spans="1:17" ht="22.5">
      <c r="A23" s="5" t="s">
        <v>57</v>
      </c>
      <c r="B23" s="6" t="s">
        <v>273</v>
      </c>
      <c r="C23" s="6" t="s">
        <v>56</v>
      </c>
      <c r="D23" s="7" t="s">
        <v>42</v>
      </c>
      <c r="E23" s="8">
        <f>E24+E25</f>
        <v>674352</v>
      </c>
      <c r="F23" s="8">
        <f t="shared" ref="F23:O23" si="14">F24+F25</f>
        <v>584000</v>
      </c>
      <c r="G23" s="8">
        <f t="shared" si="14"/>
        <v>1025712</v>
      </c>
      <c r="H23" s="8">
        <f t="shared" si="14"/>
        <v>633024</v>
      </c>
      <c r="I23" s="8">
        <f t="shared" si="14"/>
        <v>787816</v>
      </c>
      <c r="J23" s="8">
        <f t="shared" si="14"/>
        <v>445760</v>
      </c>
      <c r="K23" s="8">
        <f t="shared" si="14"/>
        <v>362864</v>
      </c>
      <c r="L23" s="8">
        <f t="shared" si="14"/>
        <v>312120</v>
      </c>
      <c r="M23" s="8">
        <f t="shared" si="14"/>
        <v>387560</v>
      </c>
      <c r="N23" s="8">
        <f t="shared" si="14"/>
        <v>82440</v>
      </c>
      <c r="O23" s="8">
        <f t="shared" si="14"/>
        <v>39400</v>
      </c>
      <c r="P23" s="8">
        <f t="shared" si="1"/>
        <v>5335048</v>
      </c>
      <c r="Q23" s="7"/>
    </row>
    <row r="24" spans="1:17" ht="22.5">
      <c r="A24" s="5" t="s">
        <v>58</v>
      </c>
      <c r="B24" s="6" t="s">
        <v>274</v>
      </c>
      <c r="C24" s="6" t="s">
        <v>56</v>
      </c>
      <c r="D24" s="7" t="s">
        <v>42</v>
      </c>
      <c r="E24" s="8">
        <f>ROUND(E30/0.07*0.02,2)</f>
        <v>337176</v>
      </c>
      <c r="F24" s="8">
        <f t="shared" ref="F24:O24" si="15">ROUND(F30/0.07*0.02,2)</f>
        <v>292000</v>
      </c>
      <c r="G24" s="8">
        <f t="shared" si="15"/>
        <v>512856</v>
      </c>
      <c r="H24" s="8">
        <f t="shared" si="15"/>
        <v>316512</v>
      </c>
      <c r="I24" s="8">
        <f t="shared" si="15"/>
        <v>393908</v>
      </c>
      <c r="J24" s="8">
        <f t="shared" si="15"/>
        <v>222880</v>
      </c>
      <c r="K24" s="8">
        <f t="shared" si="15"/>
        <v>181432</v>
      </c>
      <c r="L24" s="8">
        <f t="shared" si="15"/>
        <v>156060</v>
      </c>
      <c r="M24" s="8">
        <f t="shared" si="15"/>
        <v>193780</v>
      </c>
      <c r="N24" s="8">
        <f t="shared" si="15"/>
        <v>41220</v>
      </c>
      <c r="O24" s="8">
        <f t="shared" si="15"/>
        <v>19700</v>
      </c>
      <c r="P24" s="8">
        <f t="shared" si="1"/>
        <v>2667524</v>
      </c>
      <c r="Q24" s="7"/>
    </row>
    <row r="25" spans="1:17" ht="22.5">
      <c r="A25" s="5" t="s">
        <v>59</v>
      </c>
      <c r="B25" s="6" t="s">
        <v>275</v>
      </c>
      <c r="C25" s="6" t="s">
        <v>56</v>
      </c>
      <c r="D25" s="7" t="s">
        <v>42</v>
      </c>
      <c r="E25" s="8">
        <f>ROUND(E30/0.07*0.02,2)</f>
        <v>337176</v>
      </c>
      <c r="F25" s="8">
        <f t="shared" ref="F25:O25" si="16">ROUND(F30/0.07*0.02,2)</f>
        <v>292000</v>
      </c>
      <c r="G25" s="8">
        <f t="shared" si="16"/>
        <v>512856</v>
      </c>
      <c r="H25" s="8">
        <f t="shared" si="16"/>
        <v>316512</v>
      </c>
      <c r="I25" s="8">
        <f t="shared" si="16"/>
        <v>393908</v>
      </c>
      <c r="J25" s="8">
        <f t="shared" si="16"/>
        <v>222880</v>
      </c>
      <c r="K25" s="8">
        <f t="shared" si="16"/>
        <v>181432</v>
      </c>
      <c r="L25" s="8">
        <f t="shared" si="16"/>
        <v>156060</v>
      </c>
      <c r="M25" s="8">
        <f t="shared" si="16"/>
        <v>193780</v>
      </c>
      <c r="N25" s="8">
        <f t="shared" si="16"/>
        <v>41220</v>
      </c>
      <c r="O25" s="8">
        <f t="shared" si="16"/>
        <v>19700</v>
      </c>
      <c r="P25" s="8">
        <f t="shared" si="1"/>
        <v>2667524</v>
      </c>
      <c r="Q25" s="7"/>
    </row>
    <row r="26" spans="1:17">
      <c r="A26" s="5" t="s">
        <v>60</v>
      </c>
      <c r="B26" s="6" t="s">
        <v>61</v>
      </c>
      <c r="C26" s="6"/>
      <c r="D26" s="7" t="s">
        <v>20</v>
      </c>
      <c r="E26" s="8">
        <f t="shared" ref="E26:O26" si="17">E27</f>
        <v>2697408</v>
      </c>
      <c r="F26" s="8">
        <f t="shared" si="17"/>
        <v>2336000</v>
      </c>
      <c r="G26" s="8">
        <f t="shared" si="17"/>
        <v>4102848</v>
      </c>
      <c r="H26" s="8">
        <f t="shared" si="17"/>
        <v>2532096</v>
      </c>
      <c r="I26" s="8">
        <f t="shared" si="17"/>
        <v>3151264</v>
      </c>
      <c r="J26" s="8">
        <f t="shared" si="17"/>
        <v>1783040</v>
      </c>
      <c r="K26" s="8">
        <f t="shared" si="17"/>
        <v>1451456</v>
      </c>
      <c r="L26" s="8">
        <f t="shared" si="17"/>
        <v>1248480</v>
      </c>
      <c r="M26" s="8">
        <f t="shared" si="17"/>
        <v>1550240</v>
      </c>
      <c r="N26" s="8">
        <f t="shared" si="17"/>
        <v>329760</v>
      </c>
      <c r="O26" s="8">
        <f t="shared" si="17"/>
        <v>157600</v>
      </c>
      <c r="P26" s="8">
        <f t="shared" si="1"/>
        <v>21340192</v>
      </c>
      <c r="Q26" s="7"/>
    </row>
    <row r="27" spans="1:17" ht="22.5">
      <c r="A27" s="5" t="s">
        <v>62</v>
      </c>
      <c r="B27" s="6" t="s">
        <v>276</v>
      </c>
      <c r="C27" s="6" t="s">
        <v>63</v>
      </c>
      <c r="D27" s="7" t="s">
        <v>42</v>
      </c>
      <c r="E27" s="8">
        <f>ROUND(E30/0.07*0.16,2)</f>
        <v>2697408</v>
      </c>
      <c r="F27" s="8">
        <f t="shared" ref="F27:O27" si="18">ROUND(F30/0.07*0.16,2)</f>
        <v>2336000</v>
      </c>
      <c r="G27" s="8">
        <f t="shared" si="18"/>
        <v>4102848</v>
      </c>
      <c r="H27" s="8">
        <f t="shared" si="18"/>
        <v>2532096</v>
      </c>
      <c r="I27" s="8">
        <f t="shared" si="18"/>
        <v>3151264</v>
      </c>
      <c r="J27" s="8">
        <f t="shared" si="18"/>
        <v>1783040</v>
      </c>
      <c r="K27" s="8">
        <f t="shared" si="18"/>
        <v>1451456</v>
      </c>
      <c r="L27" s="8">
        <f t="shared" si="18"/>
        <v>1248480</v>
      </c>
      <c r="M27" s="8">
        <f t="shared" si="18"/>
        <v>1550240</v>
      </c>
      <c r="N27" s="8">
        <f t="shared" si="18"/>
        <v>329760</v>
      </c>
      <c r="O27" s="8">
        <f t="shared" si="18"/>
        <v>157600</v>
      </c>
      <c r="P27" s="8">
        <f t="shared" si="1"/>
        <v>21340192</v>
      </c>
      <c r="Q27" s="7"/>
    </row>
    <row r="28" spans="1:17">
      <c r="A28" s="5" t="s">
        <v>64</v>
      </c>
      <c r="B28" s="6" t="s">
        <v>65</v>
      </c>
      <c r="C28" s="6"/>
      <c r="D28" s="7" t="s">
        <v>20</v>
      </c>
      <c r="E28" s="8">
        <f t="shared" ref="E28:O28" si="19">E29</f>
        <v>1348704</v>
      </c>
      <c r="F28" s="8">
        <f t="shared" si="19"/>
        <v>1168000</v>
      </c>
      <c r="G28" s="8">
        <f t="shared" si="19"/>
        <v>2051424</v>
      </c>
      <c r="H28" s="8">
        <f t="shared" si="19"/>
        <v>1266048</v>
      </c>
      <c r="I28" s="8">
        <f t="shared" si="19"/>
        <v>1575632</v>
      </c>
      <c r="J28" s="8">
        <f t="shared" si="19"/>
        <v>891520</v>
      </c>
      <c r="K28" s="8">
        <f t="shared" si="19"/>
        <v>725728</v>
      </c>
      <c r="L28" s="8">
        <f t="shared" si="19"/>
        <v>624240</v>
      </c>
      <c r="M28" s="8">
        <f t="shared" si="19"/>
        <v>775120</v>
      </c>
      <c r="N28" s="8">
        <f t="shared" si="19"/>
        <v>164880</v>
      </c>
      <c r="O28" s="8">
        <f t="shared" si="19"/>
        <v>78800</v>
      </c>
      <c r="P28" s="8">
        <f t="shared" si="1"/>
        <v>10670096</v>
      </c>
      <c r="Q28" s="7"/>
    </row>
    <row r="29" spans="1:17" ht="22.5">
      <c r="A29" s="5" t="s">
        <v>66</v>
      </c>
      <c r="B29" s="6" t="s">
        <v>67</v>
      </c>
      <c r="C29" s="6" t="s">
        <v>68</v>
      </c>
      <c r="D29" s="7" t="s">
        <v>42</v>
      </c>
      <c r="E29" s="8">
        <f>ROUND(E30/0.07*0.08,2)</f>
        <v>1348704</v>
      </c>
      <c r="F29" s="8">
        <f t="shared" ref="F29:O29" si="20">ROUND(F30/0.07*0.08,2)</f>
        <v>1168000</v>
      </c>
      <c r="G29" s="8">
        <f t="shared" si="20"/>
        <v>2051424</v>
      </c>
      <c r="H29" s="8">
        <f t="shared" si="20"/>
        <v>1266048</v>
      </c>
      <c r="I29" s="8">
        <f t="shared" si="20"/>
        <v>1575632</v>
      </c>
      <c r="J29" s="8">
        <f t="shared" si="20"/>
        <v>891520</v>
      </c>
      <c r="K29" s="8">
        <f t="shared" si="20"/>
        <v>725728</v>
      </c>
      <c r="L29" s="8">
        <f t="shared" si="20"/>
        <v>624240</v>
      </c>
      <c r="M29" s="8">
        <f t="shared" si="20"/>
        <v>775120</v>
      </c>
      <c r="N29" s="8">
        <f t="shared" si="20"/>
        <v>164880</v>
      </c>
      <c r="O29" s="8">
        <f t="shared" si="20"/>
        <v>78800</v>
      </c>
      <c r="P29" s="8">
        <f t="shared" si="1"/>
        <v>10670096</v>
      </c>
      <c r="Q29" s="7"/>
    </row>
    <row r="30" spans="1:17" ht="22.5">
      <c r="A30" s="5" t="s">
        <v>69</v>
      </c>
      <c r="B30" s="6" t="s">
        <v>277</v>
      </c>
      <c r="C30" s="6" t="s">
        <v>70</v>
      </c>
      <c r="D30" s="7" t="s">
        <v>278</v>
      </c>
      <c r="E30" s="9">
        <v>1180116</v>
      </c>
      <c r="F30" s="9">
        <v>1022000</v>
      </c>
      <c r="G30" s="9">
        <v>1794996</v>
      </c>
      <c r="H30" s="9">
        <v>1107792</v>
      </c>
      <c r="I30" s="9">
        <v>1378678</v>
      </c>
      <c r="J30" s="9">
        <v>780080</v>
      </c>
      <c r="K30" s="9">
        <v>635012</v>
      </c>
      <c r="L30" s="9">
        <v>546210</v>
      </c>
      <c r="M30" s="9">
        <v>678230</v>
      </c>
      <c r="N30" s="9">
        <v>144270</v>
      </c>
      <c r="O30" s="9">
        <v>68950</v>
      </c>
      <c r="P30" s="8">
        <f t="shared" si="1"/>
        <v>9336334</v>
      </c>
      <c r="Q30" s="7"/>
    </row>
    <row r="31" spans="1:17">
      <c r="A31" s="5" t="s">
        <v>71</v>
      </c>
      <c r="B31" s="6" t="s">
        <v>279</v>
      </c>
      <c r="C31" s="6" t="s">
        <v>27</v>
      </c>
      <c r="D31" s="7" t="s">
        <v>280</v>
      </c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8">
        <f t="shared" si="1"/>
        <v>0</v>
      </c>
      <c r="Q31" s="7"/>
    </row>
    <row r="32" spans="1:17">
      <c r="A32" s="5" t="s">
        <v>72</v>
      </c>
      <c r="B32" s="6" t="s">
        <v>73</v>
      </c>
      <c r="C32" s="6"/>
      <c r="D32" s="7" t="s">
        <v>20</v>
      </c>
      <c r="E32" s="8">
        <f>E33+E35+E37</f>
        <v>1635860</v>
      </c>
      <c r="F32" s="8">
        <f t="shared" ref="F32:O32" si="21">F33+F35+F37</f>
        <v>752130</v>
      </c>
      <c r="G32" s="8">
        <f t="shared" si="21"/>
        <v>770720</v>
      </c>
      <c r="H32" s="8">
        <f t="shared" si="21"/>
        <v>671460</v>
      </c>
      <c r="I32" s="8">
        <f t="shared" si="21"/>
        <v>2079420</v>
      </c>
      <c r="J32" s="8">
        <f t="shared" si="21"/>
        <v>383700</v>
      </c>
      <c r="K32" s="8">
        <f t="shared" si="21"/>
        <v>138810</v>
      </c>
      <c r="L32" s="8">
        <f t="shared" si="21"/>
        <v>214540</v>
      </c>
      <c r="M32" s="8">
        <f t="shared" si="21"/>
        <v>143000</v>
      </c>
      <c r="N32" s="8">
        <f t="shared" si="21"/>
        <v>0</v>
      </c>
      <c r="O32" s="8">
        <f t="shared" si="21"/>
        <v>0</v>
      </c>
      <c r="P32" s="8">
        <f t="shared" si="1"/>
        <v>6789640</v>
      </c>
      <c r="Q32" s="7"/>
    </row>
    <row r="33" spans="1:17" ht="33.75">
      <c r="A33" s="5" t="s">
        <v>74</v>
      </c>
      <c r="B33" s="6" t="s">
        <v>281</v>
      </c>
      <c r="C33" s="6" t="s">
        <v>75</v>
      </c>
      <c r="D33" s="7" t="s">
        <v>282</v>
      </c>
      <c r="E33" s="8">
        <f>E34</f>
        <v>1633220</v>
      </c>
      <c r="F33" s="8">
        <f t="shared" ref="F33:O33" si="22">F34</f>
        <v>751380</v>
      </c>
      <c r="G33" s="8">
        <f t="shared" si="22"/>
        <v>764600</v>
      </c>
      <c r="H33" s="8">
        <f t="shared" si="22"/>
        <v>669660</v>
      </c>
      <c r="I33" s="8">
        <f t="shared" si="22"/>
        <v>2077920</v>
      </c>
      <c r="J33" s="8">
        <f t="shared" si="22"/>
        <v>382620</v>
      </c>
      <c r="K33" s="8">
        <f t="shared" si="22"/>
        <v>137340</v>
      </c>
      <c r="L33" s="8">
        <f t="shared" si="22"/>
        <v>212040</v>
      </c>
      <c r="M33" s="8">
        <f t="shared" si="22"/>
        <v>140800</v>
      </c>
      <c r="N33" s="8">
        <f t="shared" si="22"/>
        <v>0</v>
      </c>
      <c r="O33" s="8">
        <f t="shared" si="22"/>
        <v>0</v>
      </c>
      <c r="P33" s="8">
        <f t="shared" si="1"/>
        <v>6769580</v>
      </c>
      <c r="Q33" s="7"/>
    </row>
    <row r="34" spans="1:17" ht="33.75">
      <c r="A34" s="5" t="s">
        <v>76</v>
      </c>
      <c r="B34" s="6" t="s">
        <v>283</v>
      </c>
      <c r="C34" s="6" t="s">
        <v>75</v>
      </c>
      <c r="D34" s="7" t="s">
        <v>282</v>
      </c>
      <c r="E34" s="9">
        <v>1633220</v>
      </c>
      <c r="F34" s="9">
        <v>751380</v>
      </c>
      <c r="G34" s="9">
        <v>764600</v>
      </c>
      <c r="H34" s="9">
        <v>669660</v>
      </c>
      <c r="I34" s="9">
        <v>2077920</v>
      </c>
      <c r="J34" s="9">
        <v>382620</v>
      </c>
      <c r="K34" s="9">
        <v>137340</v>
      </c>
      <c r="L34" s="9">
        <v>212040</v>
      </c>
      <c r="M34" s="9">
        <v>140800</v>
      </c>
      <c r="N34" s="9"/>
      <c r="O34" s="9"/>
      <c r="P34" s="8">
        <f t="shared" si="1"/>
        <v>6769580</v>
      </c>
      <c r="Q34" s="7"/>
    </row>
    <row r="35" spans="1:17">
      <c r="A35" s="5" t="s">
        <v>77</v>
      </c>
      <c r="B35" s="6" t="s">
        <v>78</v>
      </c>
      <c r="C35" s="6"/>
      <c r="D35" s="7" t="s">
        <v>20</v>
      </c>
      <c r="E35" s="8">
        <f>E36</f>
        <v>2640</v>
      </c>
      <c r="F35" s="8">
        <f t="shared" ref="F35:O35" si="23">F36</f>
        <v>750</v>
      </c>
      <c r="G35" s="8">
        <f t="shared" si="23"/>
        <v>6120</v>
      </c>
      <c r="H35" s="8">
        <f t="shared" si="23"/>
        <v>1800</v>
      </c>
      <c r="I35" s="8">
        <f t="shared" si="23"/>
        <v>1500</v>
      </c>
      <c r="J35" s="8">
        <f t="shared" si="23"/>
        <v>1080</v>
      </c>
      <c r="K35" s="8">
        <f t="shared" si="23"/>
        <v>1470</v>
      </c>
      <c r="L35" s="8">
        <f t="shared" si="23"/>
        <v>2500</v>
      </c>
      <c r="M35" s="8">
        <f t="shared" si="23"/>
        <v>2200</v>
      </c>
      <c r="N35" s="8">
        <f t="shared" si="23"/>
        <v>0</v>
      </c>
      <c r="O35" s="8">
        <f t="shared" si="23"/>
        <v>0</v>
      </c>
      <c r="P35" s="8">
        <f t="shared" si="1"/>
        <v>20060</v>
      </c>
      <c r="Q35" s="7"/>
    </row>
    <row r="36" spans="1:17" ht="22.5">
      <c r="A36" s="5" t="s">
        <v>79</v>
      </c>
      <c r="B36" s="6" t="s">
        <v>80</v>
      </c>
      <c r="C36" s="6" t="s">
        <v>27</v>
      </c>
      <c r="D36" s="7" t="s">
        <v>28</v>
      </c>
      <c r="E36" s="9">
        <v>2640</v>
      </c>
      <c r="F36" s="9">
        <v>750</v>
      </c>
      <c r="G36" s="9">
        <v>6120</v>
      </c>
      <c r="H36" s="9">
        <v>1800</v>
      </c>
      <c r="I36" s="9">
        <v>1500</v>
      </c>
      <c r="J36" s="9">
        <v>1080</v>
      </c>
      <c r="K36" s="9">
        <v>1470</v>
      </c>
      <c r="L36" s="9">
        <v>2500</v>
      </c>
      <c r="M36" s="9">
        <v>2200</v>
      </c>
      <c r="N36" s="9"/>
      <c r="O36" s="9"/>
      <c r="P36" s="8">
        <f t="shared" si="1"/>
        <v>20060</v>
      </c>
      <c r="Q36" s="7"/>
    </row>
    <row r="37" spans="1:17">
      <c r="A37" s="5" t="s">
        <v>81</v>
      </c>
      <c r="B37" s="6" t="s">
        <v>82</v>
      </c>
      <c r="C37" s="6"/>
      <c r="D37" s="7" t="s">
        <v>20</v>
      </c>
      <c r="E37" s="8">
        <f>E38</f>
        <v>0</v>
      </c>
      <c r="F37" s="8">
        <f t="shared" ref="F37:O37" si="24">F38</f>
        <v>0</v>
      </c>
      <c r="G37" s="8">
        <f t="shared" si="24"/>
        <v>0</v>
      </c>
      <c r="H37" s="8">
        <f t="shared" si="24"/>
        <v>0</v>
      </c>
      <c r="I37" s="8">
        <f t="shared" si="24"/>
        <v>0</v>
      </c>
      <c r="J37" s="8">
        <f t="shared" si="24"/>
        <v>0</v>
      </c>
      <c r="K37" s="8">
        <f t="shared" si="24"/>
        <v>0</v>
      </c>
      <c r="L37" s="8">
        <f t="shared" si="24"/>
        <v>0</v>
      </c>
      <c r="M37" s="8">
        <f t="shared" si="24"/>
        <v>0</v>
      </c>
      <c r="N37" s="8">
        <f t="shared" si="24"/>
        <v>0</v>
      </c>
      <c r="O37" s="8">
        <f t="shared" si="24"/>
        <v>0</v>
      </c>
      <c r="P37" s="8">
        <f t="shared" si="1"/>
        <v>0</v>
      </c>
      <c r="Q37" s="7"/>
    </row>
    <row r="38" spans="1:17" ht="56.25">
      <c r="A38" s="5" t="s">
        <v>83</v>
      </c>
      <c r="B38" s="6" t="s">
        <v>284</v>
      </c>
      <c r="C38" s="6" t="s">
        <v>27</v>
      </c>
      <c r="D38" s="7" t="s">
        <v>84</v>
      </c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8">
        <f t="shared" si="1"/>
        <v>0</v>
      </c>
      <c r="Q38" s="7"/>
    </row>
    <row r="39" spans="1:17">
      <c r="A39" s="5" t="s">
        <v>85</v>
      </c>
      <c r="B39" s="6" t="s">
        <v>86</v>
      </c>
      <c r="C39" s="6"/>
      <c r="D39" s="7" t="s">
        <v>20</v>
      </c>
      <c r="E39" s="8">
        <f>E40+E42+E44+E46+E48+E51+E53+E55+E59</f>
        <v>4601331.7300000004</v>
      </c>
      <c r="F39" s="8">
        <f t="shared" ref="F39:O39" si="25">F40+F42+F44+F46+F48+F51+F53+F55+F59</f>
        <v>3970136.35</v>
      </c>
      <c r="G39" s="8">
        <f t="shared" si="25"/>
        <v>5942344.2000000002</v>
      </c>
      <c r="H39" s="8">
        <f t="shared" si="25"/>
        <v>4027333.15</v>
      </c>
      <c r="I39" s="8">
        <f t="shared" si="25"/>
        <v>5661370.4000000004</v>
      </c>
      <c r="J39" s="8">
        <f t="shared" si="25"/>
        <v>2255873.25</v>
      </c>
      <c r="K39" s="8">
        <f t="shared" si="25"/>
        <v>2035100.75</v>
      </c>
      <c r="L39" s="8">
        <f t="shared" si="25"/>
        <v>2338326.6</v>
      </c>
      <c r="M39" s="8">
        <f t="shared" si="25"/>
        <v>1982528.25</v>
      </c>
      <c r="N39" s="8">
        <f t="shared" si="25"/>
        <v>1116385.6000000001</v>
      </c>
      <c r="O39" s="8">
        <f t="shared" si="25"/>
        <v>127825</v>
      </c>
      <c r="P39" s="8">
        <f t="shared" si="1"/>
        <v>34058555.280000001</v>
      </c>
      <c r="Q39" s="7"/>
    </row>
    <row r="40" spans="1:17" ht="22.5">
      <c r="A40" s="5" t="s">
        <v>87</v>
      </c>
      <c r="B40" s="6" t="s">
        <v>88</v>
      </c>
      <c r="C40" s="6"/>
      <c r="D40" s="7" t="s">
        <v>89</v>
      </c>
      <c r="E40" s="9">
        <v>3222450</v>
      </c>
      <c r="F40" s="9">
        <v>2968350</v>
      </c>
      <c r="G40" s="9">
        <v>4345740</v>
      </c>
      <c r="H40" s="9">
        <v>2998140</v>
      </c>
      <c r="I40" s="9">
        <v>4076700</v>
      </c>
      <c r="J40" s="9">
        <v>1441440</v>
      </c>
      <c r="K40" s="9">
        <v>1480000</v>
      </c>
      <c r="L40" s="9">
        <v>1859000</v>
      </c>
      <c r="M40" s="9">
        <v>1383120</v>
      </c>
      <c r="N40" s="9">
        <v>858000</v>
      </c>
      <c r="O40" s="9">
        <v>22400</v>
      </c>
      <c r="P40" s="8">
        <f t="shared" si="1"/>
        <v>24655340</v>
      </c>
      <c r="Q40" s="7"/>
    </row>
    <row r="41" spans="1:17">
      <c r="A41" s="5" t="s">
        <v>90</v>
      </c>
      <c r="B41" s="6" t="s">
        <v>285</v>
      </c>
      <c r="C41" s="6" t="s">
        <v>286</v>
      </c>
      <c r="D41" s="11" t="s">
        <v>287</v>
      </c>
      <c r="E41" s="9">
        <v>161122.5</v>
      </c>
      <c r="F41" s="9">
        <v>148417.5</v>
      </c>
      <c r="G41" s="9">
        <v>217287</v>
      </c>
      <c r="H41" s="9">
        <v>149907</v>
      </c>
      <c r="I41" s="9">
        <v>203835</v>
      </c>
      <c r="J41" s="9">
        <v>64207</v>
      </c>
      <c r="K41" s="9">
        <v>50108</v>
      </c>
      <c r="L41" s="9">
        <v>35893</v>
      </c>
      <c r="M41" s="9">
        <v>46818</v>
      </c>
      <c r="N41" s="9">
        <v>11869</v>
      </c>
      <c r="O41" s="9">
        <v>1120</v>
      </c>
      <c r="P41" s="8">
        <f t="shared" si="1"/>
        <v>1090584</v>
      </c>
      <c r="Q41" s="7"/>
    </row>
    <row r="42" spans="1:17">
      <c r="A42" s="5" t="s">
        <v>91</v>
      </c>
      <c r="B42" s="6" t="s">
        <v>92</v>
      </c>
      <c r="C42" s="6"/>
      <c r="D42" s="7"/>
      <c r="E42" s="8">
        <f>E43</f>
        <v>25600</v>
      </c>
      <c r="F42" s="8">
        <f t="shared" ref="F42:N42" si="26">F43</f>
        <v>21200</v>
      </c>
      <c r="G42" s="8">
        <f t="shared" si="26"/>
        <v>39200</v>
      </c>
      <c r="H42" s="8">
        <f t="shared" si="26"/>
        <v>24800</v>
      </c>
      <c r="I42" s="8">
        <f t="shared" si="26"/>
        <v>31600</v>
      </c>
      <c r="J42" s="8">
        <f t="shared" si="26"/>
        <v>20000</v>
      </c>
      <c r="K42" s="8">
        <f t="shared" si="26"/>
        <v>16000</v>
      </c>
      <c r="L42" s="8">
        <f t="shared" si="26"/>
        <v>12800</v>
      </c>
      <c r="M42" s="8">
        <f t="shared" si="26"/>
        <v>16400</v>
      </c>
      <c r="N42" s="8">
        <f t="shared" si="26"/>
        <v>3600</v>
      </c>
      <c r="O42" s="8">
        <f>O43</f>
        <v>1600</v>
      </c>
      <c r="P42" s="8">
        <f t="shared" si="1"/>
        <v>212800</v>
      </c>
      <c r="Q42" s="7"/>
    </row>
    <row r="43" spans="1:17" ht="33.75">
      <c r="A43" s="5" t="s">
        <v>93</v>
      </c>
      <c r="B43" s="6" t="s">
        <v>94</v>
      </c>
      <c r="C43" s="6" t="s">
        <v>27</v>
      </c>
      <c r="D43" s="11" t="s">
        <v>95</v>
      </c>
      <c r="E43" s="8">
        <f>E62*400</f>
        <v>25600</v>
      </c>
      <c r="F43" s="8">
        <f t="shared" ref="F43:O43" si="27">F62*400</f>
        <v>21200</v>
      </c>
      <c r="G43" s="8">
        <f t="shared" si="27"/>
        <v>39200</v>
      </c>
      <c r="H43" s="8">
        <f t="shared" si="27"/>
        <v>24800</v>
      </c>
      <c r="I43" s="8">
        <f t="shared" si="27"/>
        <v>31600</v>
      </c>
      <c r="J43" s="8">
        <f t="shared" si="27"/>
        <v>20000</v>
      </c>
      <c r="K43" s="8">
        <f t="shared" si="27"/>
        <v>16000</v>
      </c>
      <c r="L43" s="8">
        <f t="shared" si="27"/>
        <v>12800</v>
      </c>
      <c r="M43" s="8">
        <f t="shared" si="27"/>
        <v>16400</v>
      </c>
      <c r="N43" s="8">
        <f t="shared" si="27"/>
        <v>3600</v>
      </c>
      <c r="O43" s="8">
        <f t="shared" si="27"/>
        <v>1600</v>
      </c>
      <c r="P43" s="8">
        <f t="shared" si="1"/>
        <v>212800</v>
      </c>
      <c r="Q43" s="7"/>
    </row>
    <row r="44" spans="1:17">
      <c r="A44" s="5" t="s">
        <v>96</v>
      </c>
      <c r="B44" s="6" t="s">
        <v>97</v>
      </c>
      <c r="C44" s="6"/>
      <c r="D44" s="7" t="s">
        <v>20</v>
      </c>
      <c r="E44" s="8">
        <f>E45</f>
        <v>284609.25</v>
      </c>
      <c r="F44" s="8">
        <f t="shared" ref="F44:O44" si="28">F45</f>
        <v>181200.75</v>
      </c>
      <c r="G44" s="8">
        <f t="shared" si="28"/>
        <v>287341.8</v>
      </c>
      <c r="H44" s="8">
        <f t="shared" si="28"/>
        <v>170337.15</v>
      </c>
      <c r="I44" s="8">
        <f t="shared" si="28"/>
        <v>202718.4</v>
      </c>
      <c r="J44" s="8">
        <f t="shared" si="28"/>
        <v>183473.25</v>
      </c>
      <c r="K44" s="8">
        <f t="shared" si="28"/>
        <v>86520.75</v>
      </c>
      <c r="L44" s="8">
        <f t="shared" si="28"/>
        <v>68538.599999999991</v>
      </c>
      <c r="M44" s="8">
        <f t="shared" si="28"/>
        <v>97676.25</v>
      </c>
      <c r="N44" s="8">
        <f t="shared" si="28"/>
        <v>109320</v>
      </c>
      <c r="O44" s="8">
        <f t="shared" si="28"/>
        <v>64605</v>
      </c>
      <c r="P44" s="8">
        <f t="shared" si="1"/>
        <v>1736341.2000000002</v>
      </c>
      <c r="Q44" s="7"/>
    </row>
    <row r="45" spans="1:17" ht="33.75">
      <c r="A45" s="5" t="s">
        <v>98</v>
      </c>
      <c r="B45" s="6" t="s">
        <v>99</v>
      </c>
      <c r="C45" s="6" t="s">
        <v>27</v>
      </c>
      <c r="D45" s="11" t="s">
        <v>100</v>
      </c>
      <c r="E45" s="8">
        <f>E73*15</f>
        <v>284609.25</v>
      </c>
      <c r="F45" s="8">
        <f t="shared" ref="F45:O45" si="29">F73*15</f>
        <v>181200.75</v>
      </c>
      <c r="G45" s="8">
        <f t="shared" si="29"/>
        <v>287341.8</v>
      </c>
      <c r="H45" s="8">
        <f t="shared" si="29"/>
        <v>170337.15</v>
      </c>
      <c r="I45" s="8">
        <f t="shared" si="29"/>
        <v>202718.4</v>
      </c>
      <c r="J45" s="8">
        <f t="shared" si="29"/>
        <v>183473.25</v>
      </c>
      <c r="K45" s="8">
        <f t="shared" si="29"/>
        <v>86520.75</v>
      </c>
      <c r="L45" s="8">
        <f t="shared" si="29"/>
        <v>68538.599999999991</v>
      </c>
      <c r="M45" s="8">
        <f t="shared" si="29"/>
        <v>97676.25</v>
      </c>
      <c r="N45" s="8">
        <f t="shared" si="29"/>
        <v>109320</v>
      </c>
      <c r="O45" s="8">
        <f t="shared" si="29"/>
        <v>64605</v>
      </c>
      <c r="P45" s="8">
        <f t="shared" si="1"/>
        <v>1736341.2000000002</v>
      </c>
      <c r="Q45" s="7"/>
    </row>
    <row r="46" spans="1:17">
      <c r="A46" s="5" t="s">
        <v>101</v>
      </c>
      <c r="B46" s="6" t="s">
        <v>102</v>
      </c>
      <c r="C46" s="6"/>
      <c r="D46" s="7" t="s">
        <v>20</v>
      </c>
      <c r="E46" s="8">
        <f>E47</f>
        <v>29256.48</v>
      </c>
      <c r="F46" s="8">
        <f t="shared" ref="F46:O46" si="30">F47</f>
        <v>48905.599999999999</v>
      </c>
      <c r="G46" s="8">
        <f t="shared" si="30"/>
        <v>71286.399999999994</v>
      </c>
      <c r="H46" s="8">
        <f t="shared" si="30"/>
        <v>26904</v>
      </c>
      <c r="I46" s="8">
        <f t="shared" si="30"/>
        <v>63744</v>
      </c>
      <c r="J46" s="8">
        <f t="shared" si="30"/>
        <v>30240</v>
      </c>
      <c r="K46" s="8">
        <f t="shared" si="30"/>
        <v>23868</v>
      </c>
      <c r="L46" s="8">
        <f t="shared" si="30"/>
        <v>7328</v>
      </c>
      <c r="M46" s="8">
        <f t="shared" si="30"/>
        <v>28232</v>
      </c>
      <c r="N46" s="8">
        <f t="shared" si="30"/>
        <v>31865.599999999999</v>
      </c>
      <c r="O46" s="8">
        <f t="shared" si="30"/>
        <v>2240</v>
      </c>
      <c r="P46" s="8">
        <f t="shared" si="1"/>
        <v>363870.07999999996</v>
      </c>
      <c r="Q46" s="7"/>
    </row>
    <row r="47" spans="1:17" ht="33.75">
      <c r="A47" s="5" t="s">
        <v>103</v>
      </c>
      <c r="B47" s="6" t="s">
        <v>104</v>
      </c>
      <c r="C47" s="6" t="s">
        <v>27</v>
      </c>
      <c r="D47" s="11" t="s">
        <v>105</v>
      </c>
      <c r="E47" s="8">
        <f>E74*8</f>
        <v>29256.48</v>
      </c>
      <c r="F47" s="8">
        <f t="shared" ref="F47:O47" si="31">F74*8</f>
        <v>48905.599999999999</v>
      </c>
      <c r="G47" s="8">
        <f t="shared" si="31"/>
        <v>71286.399999999994</v>
      </c>
      <c r="H47" s="8">
        <f t="shared" si="31"/>
        <v>26904</v>
      </c>
      <c r="I47" s="8">
        <f t="shared" si="31"/>
        <v>63744</v>
      </c>
      <c r="J47" s="8">
        <f t="shared" si="31"/>
        <v>30240</v>
      </c>
      <c r="K47" s="8">
        <f t="shared" si="31"/>
        <v>23868</v>
      </c>
      <c r="L47" s="8">
        <f t="shared" si="31"/>
        <v>7328</v>
      </c>
      <c r="M47" s="8">
        <f t="shared" si="31"/>
        <v>28232</v>
      </c>
      <c r="N47" s="8">
        <f t="shared" si="31"/>
        <v>31865.599999999999</v>
      </c>
      <c r="O47" s="8">
        <f t="shared" si="31"/>
        <v>2240</v>
      </c>
      <c r="P47" s="8">
        <f t="shared" si="1"/>
        <v>363870.07999999996</v>
      </c>
      <c r="Q47" s="7"/>
    </row>
    <row r="48" spans="1:17">
      <c r="A48" s="5" t="s">
        <v>106</v>
      </c>
      <c r="B48" s="6" t="s">
        <v>288</v>
      </c>
      <c r="C48" s="6"/>
      <c r="D48" s="7" t="s">
        <v>20</v>
      </c>
      <c r="E48" s="8">
        <f>E49+E50</f>
        <v>635040</v>
      </c>
      <c r="F48" s="8">
        <f t="shared" ref="F48:O48" si="32">F49+F50</f>
        <v>406080</v>
      </c>
      <c r="G48" s="8">
        <f t="shared" si="32"/>
        <v>630720</v>
      </c>
      <c r="H48" s="8">
        <f t="shared" si="32"/>
        <v>440640</v>
      </c>
      <c r="I48" s="8">
        <f t="shared" si="32"/>
        <v>820800</v>
      </c>
      <c r="J48" s="8">
        <f t="shared" si="32"/>
        <v>311040</v>
      </c>
      <c r="K48" s="8">
        <f t="shared" si="32"/>
        <v>211680</v>
      </c>
      <c r="L48" s="8">
        <f t="shared" si="32"/>
        <v>194400</v>
      </c>
      <c r="M48" s="8">
        <f t="shared" si="32"/>
        <v>220320</v>
      </c>
      <c r="N48" s="8">
        <f t="shared" si="32"/>
        <v>38880</v>
      </c>
      <c r="O48" s="8">
        <f t="shared" si="32"/>
        <v>17280</v>
      </c>
      <c r="P48" s="8">
        <f t="shared" si="1"/>
        <v>3926880</v>
      </c>
      <c r="Q48" s="7"/>
    </row>
    <row r="49" spans="1:17" ht="33.75">
      <c r="A49" s="5" t="s">
        <v>107</v>
      </c>
      <c r="B49" s="6" t="s">
        <v>289</v>
      </c>
      <c r="C49" s="6" t="s">
        <v>27</v>
      </c>
      <c r="D49" s="11" t="s">
        <v>108</v>
      </c>
      <c r="E49" s="8">
        <f>E62*4320</f>
        <v>276480</v>
      </c>
      <c r="F49" s="8">
        <f t="shared" ref="F49:O49" si="33">F62*4320</f>
        <v>228960</v>
      </c>
      <c r="G49" s="8">
        <f t="shared" si="33"/>
        <v>423360</v>
      </c>
      <c r="H49" s="8">
        <f t="shared" si="33"/>
        <v>267840</v>
      </c>
      <c r="I49" s="8">
        <f t="shared" si="33"/>
        <v>341280</v>
      </c>
      <c r="J49" s="8">
        <f t="shared" si="33"/>
        <v>216000</v>
      </c>
      <c r="K49" s="8">
        <f t="shared" si="33"/>
        <v>172800</v>
      </c>
      <c r="L49" s="8">
        <f t="shared" si="33"/>
        <v>138240</v>
      </c>
      <c r="M49" s="8">
        <f t="shared" si="33"/>
        <v>177120</v>
      </c>
      <c r="N49" s="8">
        <f t="shared" si="33"/>
        <v>38880</v>
      </c>
      <c r="O49" s="8">
        <f t="shared" si="33"/>
        <v>17280</v>
      </c>
      <c r="P49" s="8">
        <f t="shared" si="1"/>
        <v>2298240</v>
      </c>
      <c r="Q49" s="7"/>
    </row>
    <row r="50" spans="1:17" ht="33.75">
      <c r="A50" s="5" t="s">
        <v>109</v>
      </c>
      <c r="B50" s="6" t="s">
        <v>290</v>
      </c>
      <c r="C50" s="6" t="s">
        <v>27</v>
      </c>
      <c r="D50" s="11" t="s">
        <v>291</v>
      </c>
      <c r="E50" s="8">
        <f>E72*4320</f>
        <v>358560</v>
      </c>
      <c r="F50" s="8">
        <f t="shared" ref="F50:O50" si="34">F72*4320</f>
        <v>177120</v>
      </c>
      <c r="G50" s="8">
        <f t="shared" si="34"/>
        <v>207360</v>
      </c>
      <c r="H50" s="8">
        <f t="shared" si="34"/>
        <v>172800</v>
      </c>
      <c r="I50" s="8">
        <f t="shared" si="34"/>
        <v>479520</v>
      </c>
      <c r="J50" s="8">
        <f t="shared" si="34"/>
        <v>95040</v>
      </c>
      <c r="K50" s="8">
        <f t="shared" si="34"/>
        <v>38880</v>
      </c>
      <c r="L50" s="8">
        <f t="shared" si="34"/>
        <v>56160</v>
      </c>
      <c r="M50" s="8">
        <f t="shared" si="34"/>
        <v>43200</v>
      </c>
      <c r="N50" s="8">
        <f t="shared" si="34"/>
        <v>0</v>
      </c>
      <c r="O50" s="8">
        <f t="shared" si="34"/>
        <v>0</v>
      </c>
      <c r="P50" s="8">
        <f t="shared" si="1"/>
        <v>1628640</v>
      </c>
      <c r="Q50" s="7"/>
    </row>
    <row r="51" spans="1:17">
      <c r="A51" s="5" t="s">
        <v>110</v>
      </c>
      <c r="B51" s="6" t="s">
        <v>292</v>
      </c>
      <c r="C51" s="6"/>
      <c r="D51" s="7" t="s">
        <v>20</v>
      </c>
      <c r="E51" s="8">
        <f>E52</f>
        <v>337176</v>
      </c>
      <c r="F51" s="8">
        <f t="shared" ref="F51:O51" si="35">F52</f>
        <v>292000</v>
      </c>
      <c r="G51" s="8">
        <f t="shared" si="35"/>
        <v>512856</v>
      </c>
      <c r="H51" s="8">
        <f t="shared" si="35"/>
        <v>316512</v>
      </c>
      <c r="I51" s="8">
        <f t="shared" si="35"/>
        <v>393908</v>
      </c>
      <c r="J51" s="8">
        <f t="shared" si="35"/>
        <v>222880</v>
      </c>
      <c r="K51" s="8">
        <f t="shared" si="35"/>
        <v>181432</v>
      </c>
      <c r="L51" s="8">
        <f t="shared" si="35"/>
        <v>156060</v>
      </c>
      <c r="M51" s="8">
        <f t="shared" si="35"/>
        <v>193780</v>
      </c>
      <c r="N51" s="8">
        <f t="shared" si="35"/>
        <v>41220</v>
      </c>
      <c r="O51" s="8">
        <f t="shared" si="35"/>
        <v>19700</v>
      </c>
      <c r="P51" s="8">
        <f t="shared" si="1"/>
        <v>2667524</v>
      </c>
      <c r="Q51" s="7"/>
    </row>
    <row r="52" spans="1:17" ht="22.5">
      <c r="A52" s="5" t="s">
        <v>111</v>
      </c>
      <c r="B52" s="6" t="s">
        <v>112</v>
      </c>
      <c r="C52" s="6" t="s">
        <v>27</v>
      </c>
      <c r="D52" s="7" t="s">
        <v>42</v>
      </c>
      <c r="E52" s="8">
        <f>ROUND(E30/0.07*0.02,2)</f>
        <v>337176</v>
      </c>
      <c r="F52" s="8">
        <f t="shared" ref="F52:O52" si="36">ROUND(F30/0.07*0.02,2)</f>
        <v>292000</v>
      </c>
      <c r="G52" s="8">
        <f t="shared" si="36"/>
        <v>512856</v>
      </c>
      <c r="H52" s="8">
        <f t="shared" si="36"/>
        <v>316512</v>
      </c>
      <c r="I52" s="8">
        <f t="shared" si="36"/>
        <v>393908</v>
      </c>
      <c r="J52" s="8">
        <f t="shared" si="36"/>
        <v>222880</v>
      </c>
      <c r="K52" s="8">
        <f t="shared" si="36"/>
        <v>181432</v>
      </c>
      <c r="L52" s="8">
        <f t="shared" si="36"/>
        <v>156060</v>
      </c>
      <c r="M52" s="8">
        <f t="shared" si="36"/>
        <v>193780</v>
      </c>
      <c r="N52" s="8">
        <f t="shared" si="36"/>
        <v>41220</v>
      </c>
      <c r="O52" s="8">
        <f t="shared" si="36"/>
        <v>19700</v>
      </c>
      <c r="P52" s="8">
        <f t="shared" si="1"/>
        <v>2667524</v>
      </c>
      <c r="Q52" s="7"/>
    </row>
    <row r="53" spans="1:17">
      <c r="A53" s="5" t="s">
        <v>113</v>
      </c>
      <c r="B53" s="6" t="s">
        <v>293</v>
      </c>
      <c r="C53" s="6"/>
      <c r="D53" s="7" t="s">
        <v>20</v>
      </c>
      <c r="E53" s="8">
        <f>E54</f>
        <v>32000</v>
      </c>
      <c r="F53" s="8">
        <f t="shared" ref="F53:O53" si="37">F54</f>
        <v>32000</v>
      </c>
      <c r="G53" s="8">
        <f t="shared" si="37"/>
        <v>32000</v>
      </c>
      <c r="H53" s="8">
        <f t="shared" si="37"/>
        <v>32000</v>
      </c>
      <c r="I53" s="8">
        <f t="shared" si="37"/>
        <v>25000</v>
      </c>
      <c r="J53" s="8">
        <f t="shared" si="37"/>
        <v>0</v>
      </c>
      <c r="K53" s="8">
        <f t="shared" si="37"/>
        <v>25000</v>
      </c>
      <c r="L53" s="8">
        <f t="shared" si="37"/>
        <v>0</v>
      </c>
      <c r="M53" s="8">
        <f t="shared" si="37"/>
        <v>32000</v>
      </c>
      <c r="N53" s="8">
        <f t="shared" si="37"/>
        <v>0</v>
      </c>
      <c r="O53" s="8">
        <f t="shared" si="37"/>
        <v>0</v>
      </c>
      <c r="P53" s="8">
        <f t="shared" si="1"/>
        <v>210000</v>
      </c>
      <c r="Q53" s="7"/>
    </row>
    <row r="54" spans="1:17" ht="90">
      <c r="A54" s="5" t="s">
        <v>114</v>
      </c>
      <c r="B54" s="6" t="s">
        <v>115</v>
      </c>
      <c r="C54" s="6" t="s">
        <v>27</v>
      </c>
      <c r="D54" s="11" t="s">
        <v>294</v>
      </c>
      <c r="E54" s="9">
        <v>32000</v>
      </c>
      <c r="F54" s="9">
        <v>32000</v>
      </c>
      <c r="G54" s="9">
        <v>32000</v>
      </c>
      <c r="H54" s="9">
        <v>32000</v>
      </c>
      <c r="I54" s="9">
        <v>25000</v>
      </c>
      <c r="J54" s="9"/>
      <c r="K54" s="9">
        <v>25000</v>
      </c>
      <c r="L54" s="9"/>
      <c r="M54" s="9">
        <v>32000</v>
      </c>
      <c r="N54" s="9"/>
      <c r="O54" s="9"/>
      <c r="P54" s="8">
        <f t="shared" si="1"/>
        <v>210000</v>
      </c>
      <c r="Q54" s="7"/>
    </row>
    <row r="55" spans="1:17">
      <c r="A55" s="5" t="s">
        <v>116</v>
      </c>
      <c r="B55" s="6" t="s">
        <v>295</v>
      </c>
      <c r="C55" s="6"/>
      <c r="D55" s="7" t="s">
        <v>20</v>
      </c>
      <c r="E55" s="8">
        <f>E56+E58</f>
        <v>35200</v>
      </c>
      <c r="F55" s="8">
        <f t="shared" ref="F55:O55" si="38">F56+F58</f>
        <v>20400</v>
      </c>
      <c r="G55" s="8">
        <f t="shared" si="38"/>
        <v>23200</v>
      </c>
      <c r="H55" s="8">
        <f t="shared" si="38"/>
        <v>18000</v>
      </c>
      <c r="I55" s="8">
        <f t="shared" si="38"/>
        <v>46900</v>
      </c>
      <c r="J55" s="8">
        <f t="shared" si="38"/>
        <v>14800</v>
      </c>
      <c r="K55" s="8">
        <f t="shared" si="38"/>
        <v>5600</v>
      </c>
      <c r="L55" s="8">
        <f t="shared" si="38"/>
        <v>8200</v>
      </c>
      <c r="M55" s="8">
        <f t="shared" si="38"/>
        <v>6000</v>
      </c>
      <c r="N55" s="8">
        <f t="shared" si="38"/>
        <v>1500</v>
      </c>
      <c r="O55" s="8">
        <f t="shared" si="38"/>
        <v>0</v>
      </c>
      <c r="P55" s="8">
        <f t="shared" si="1"/>
        <v>179800</v>
      </c>
      <c r="Q55" s="7"/>
    </row>
    <row r="56" spans="1:17">
      <c r="A56" s="5" t="s">
        <v>117</v>
      </c>
      <c r="B56" s="6" t="s">
        <v>296</v>
      </c>
      <c r="C56" s="6" t="s">
        <v>27</v>
      </c>
      <c r="D56" s="7" t="s">
        <v>20</v>
      </c>
      <c r="E56" s="8">
        <f>E57</f>
        <v>33200</v>
      </c>
      <c r="F56" s="8">
        <f t="shared" ref="F56:O56" si="39">F57</f>
        <v>16400</v>
      </c>
      <c r="G56" s="8">
        <f t="shared" si="39"/>
        <v>19200</v>
      </c>
      <c r="H56" s="8">
        <f t="shared" si="39"/>
        <v>16000</v>
      </c>
      <c r="I56" s="8">
        <f t="shared" si="39"/>
        <v>44400</v>
      </c>
      <c r="J56" s="8">
        <f t="shared" si="39"/>
        <v>8800</v>
      </c>
      <c r="K56" s="8">
        <f t="shared" si="39"/>
        <v>3600</v>
      </c>
      <c r="L56" s="8">
        <f t="shared" si="39"/>
        <v>5200</v>
      </c>
      <c r="M56" s="8">
        <f t="shared" si="39"/>
        <v>4000</v>
      </c>
      <c r="N56" s="8">
        <f t="shared" si="39"/>
        <v>0</v>
      </c>
      <c r="O56" s="8">
        <f t="shared" si="39"/>
        <v>0</v>
      </c>
      <c r="P56" s="8">
        <f t="shared" si="1"/>
        <v>150800</v>
      </c>
      <c r="Q56" s="7"/>
    </row>
    <row r="57" spans="1:17" ht="45">
      <c r="A57" s="5" t="s">
        <v>118</v>
      </c>
      <c r="B57" s="6" t="s">
        <v>119</v>
      </c>
      <c r="C57" s="6" t="s">
        <v>27</v>
      </c>
      <c r="D57" s="11" t="s">
        <v>297</v>
      </c>
      <c r="E57" s="8">
        <f>E72*400</f>
        <v>33200</v>
      </c>
      <c r="F57" s="8">
        <f t="shared" ref="F57:O57" si="40">F72*400</f>
        <v>16400</v>
      </c>
      <c r="G57" s="8">
        <f t="shared" si="40"/>
        <v>19200</v>
      </c>
      <c r="H57" s="8">
        <f t="shared" si="40"/>
        <v>16000</v>
      </c>
      <c r="I57" s="8">
        <f t="shared" si="40"/>
        <v>44400</v>
      </c>
      <c r="J57" s="8">
        <f t="shared" si="40"/>
        <v>8800</v>
      </c>
      <c r="K57" s="8">
        <f t="shared" si="40"/>
        <v>3600</v>
      </c>
      <c r="L57" s="8">
        <f t="shared" si="40"/>
        <v>5200</v>
      </c>
      <c r="M57" s="8">
        <f t="shared" si="40"/>
        <v>4000</v>
      </c>
      <c r="N57" s="8">
        <f t="shared" si="40"/>
        <v>0</v>
      </c>
      <c r="O57" s="8">
        <f t="shared" si="40"/>
        <v>0</v>
      </c>
      <c r="P57" s="8">
        <f t="shared" si="1"/>
        <v>150800</v>
      </c>
      <c r="Q57" s="7"/>
    </row>
    <row r="58" spans="1:17">
      <c r="A58" s="5" t="s">
        <v>120</v>
      </c>
      <c r="B58" s="6" t="s">
        <v>298</v>
      </c>
      <c r="C58" s="6" t="s">
        <v>27</v>
      </c>
      <c r="D58" s="11" t="s">
        <v>121</v>
      </c>
      <c r="E58" s="12">
        <v>2000</v>
      </c>
      <c r="F58" s="12">
        <v>4000</v>
      </c>
      <c r="G58" s="12">
        <v>4000</v>
      </c>
      <c r="H58" s="12">
        <v>2000</v>
      </c>
      <c r="I58" s="12">
        <v>2500</v>
      </c>
      <c r="J58" s="12">
        <v>6000</v>
      </c>
      <c r="K58" s="12">
        <v>2000</v>
      </c>
      <c r="L58" s="12">
        <v>3000</v>
      </c>
      <c r="M58" s="12">
        <v>2000</v>
      </c>
      <c r="N58" s="12">
        <v>1500</v>
      </c>
      <c r="O58" s="12"/>
      <c r="P58" s="8">
        <f t="shared" si="1"/>
        <v>29000</v>
      </c>
      <c r="Q58" s="7"/>
    </row>
    <row r="59" spans="1:17">
      <c r="A59" s="5" t="s">
        <v>122</v>
      </c>
      <c r="B59" s="6" t="s">
        <v>299</v>
      </c>
      <c r="C59" s="6"/>
      <c r="D59" s="7" t="s">
        <v>20</v>
      </c>
      <c r="E59" s="8">
        <f>E60</f>
        <v>0</v>
      </c>
      <c r="F59" s="8">
        <f t="shared" ref="F59:O59" si="41">F60</f>
        <v>0</v>
      </c>
      <c r="G59" s="8">
        <f t="shared" si="41"/>
        <v>0</v>
      </c>
      <c r="H59" s="8">
        <f t="shared" si="41"/>
        <v>0</v>
      </c>
      <c r="I59" s="8">
        <f t="shared" si="41"/>
        <v>0</v>
      </c>
      <c r="J59" s="8">
        <f t="shared" si="41"/>
        <v>32000</v>
      </c>
      <c r="K59" s="8">
        <f t="shared" si="41"/>
        <v>5000</v>
      </c>
      <c r="L59" s="8">
        <f t="shared" si="41"/>
        <v>32000</v>
      </c>
      <c r="M59" s="8">
        <f t="shared" si="41"/>
        <v>5000</v>
      </c>
      <c r="N59" s="8">
        <f t="shared" si="41"/>
        <v>32000</v>
      </c>
      <c r="O59" s="8">
        <f t="shared" si="41"/>
        <v>0</v>
      </c>
      <c r="P59" s="8">
        <f t="shared" si="1"/>
        <v>106000</v>
      </c>
      <c r="Q59" s="7"/>
    </row>
    <row r="60" spans="1:17" ht="135.75" thickBot="1">
      <c r="A60" s="5" t="s">
        <v>123</v>
      </c>
      <c r="B60" s="13" t="s">
        <v>124</v>
      </c>
      <c r="C60" s="6" t="s">
        <v>27</v>
      </c>
      <c r="D60" s="14" t="s">
        <v>300</v>
      </c>
      <c r="E60" s="2"/>
      <c r="F60" s="2"/>
      <c r="G60" s="2"/>
      <c r="H60" s="2"/>
      <c r="I60" s="2"/>
      <c r="J60" s="2">
        <v>32000</v>
      </c>
      <c r="K60" s="2">
        <v>5000</v>
      </c>
      <c r="L60" s="2">
        <v>32000</v>
      </c>
      <c r="M60" s="2">
        <v>5000</v>
      </c>
      <c r="N60" s="2">
        <v>32000</v>
      </c>
      <c r="O60" s="2"/>
      <c r="P60" s="8">
        <f t="shared" si="1"/>
        <v>106000</v>
      </c>
      <c r="Q60" s="15"/>
    </row>
    <row r="61" spans="1:17" ht="12" thickTop="1">
      <c r="A61" s="5" t="s">
        <v>125</v>
      </c>
      <c r="B61" s="16" t="s">
        <v>126</v>
      </c>
      <c r="C61" s="16"/>
      <c r="D61" s="17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8">
        <f t="shared" si="1"/>
        <v>0</v>
      </c>
      <c r="Q61" s="19"/>
    </row>
    <row r="62" spans="1:17" ht="33.75">
      <c r="A62" s="5" t="s">
        <v>127</v>
      </c>
      <c r="B62" s="6" t="s">
        <v>128</v>
      </c>
      <c r="C62" s="6"/>
      <c r="D62" s="7" t="s">
        <v>301</v>
      </c>
      <c r="E62" s="8">
        <f>E63+E64+E65+E66</f>
        <v>64</v>
      </c>
      <c r="F62" s="8">
        <f t="shared" ref="F62:O62" si="42">F63+F64+F65+F66</f>
        <v>53</v>
      </c>
      <c r="G62" s="8">
        <f t="shared" si="42"/>
        <v>98</v>
      </c>
      <c r="H62" s="8">
        <f t="shared" si="42"/>
        <v>62</v>
      </c>
      <c r="I62" s="8">
        <f t="shared" si="42"/>
        <v>79</v>
      </c>
      <c r="J62" s="8">
        <f t="shared" si="42"/>
        <v>50</v>
      </c>
      <c r="K62" s="8">
        <f t="shared" si="42"/>
        <v>40</v>
      </c>
      <c r="L62" s="8">
        <f t="shared" si="42"/>
        <v>32</v>
      </c>
      <c r="M62" s="8">
        <f t="shared" si="42"/>
        <v>41</v>
      </c>
      <c r="N62" s="8">
        <f t="shared" si="42"/>
        <v>9</v>
      </c>
      <c r="O62" s="8">
        <f t="shared" si="42"/>
        <v>4</v>
      </c>
      <c r="P62" s="8">
        <f t="shared" si="1"/>
        <v>532</v>
      </c>
      <c r="Q62" s="7"/>
    </row>
    <row r="63" spans="1:17">
      <c r="A63" s="5" t="s">
        <v>129</v>
      </c>
      <c r="B63" s="20" t="s">
        <v>130</v>
      </c>
      <c r="C63" s="20"/>
      <c r="D63" s="7"/>
      <c r="E63" s="9">
        <v>64</v>
      </c>
      <c r="F63" s="9">
        <v>53</v>
      </c>
      <c r="G63" s="9">
        <v>47</v>
      </c>
      <c r="H63" s="9"/>
      <c r="I63" s="9"/>
      <c r="J63" s="9"/>
      <c r="K63" s="9"/>
      <c r="L63" s="9"/>
      <c r="M63" s="9"/>
      <c r="N63" s="9"/>
      <c r="O63" s="9"/>
      <c r="P63" s="8">
        <f t="shared" si="1"/>
        <v>164</v>
      </c>
      <c r="Q63" s="7"/>
    </row>
    <row r="64" spans="1:17">
      <c r="A64" s="5" t="s">
        <v>131</v>
      </c>
      <c r="B64" s="20" t="s">
        <v>132</v>
      </c>
      <c r="C64" s="20"/>
      <c r="D64" s="7"/>
      <c r="E64" s="9"/>
      <c r="F64" s="9"/>
      <c r="G64" s="9">
        <v>51</v>
      </c>
      <c r="H64" s="9">
        <v>62</v>
      </c>
      <c r="I64" s="9">
        <v>79</v>
      </c>
      <c r="J64" s="9"/>
      <c r="K64" s="9"/>
      <c r="L64" s="9"/>
      <c r="M64" s="9"/>
      <c r="N64" s="9"/>
      <c r="O64" s="9"/>
      <c r="P64" s="8">
        <f t="shared" si="1"/>
        <v>192</v>
      </c>
      <c r="Q64" s="7"/>
    </row>
    <row r="65" spans="1:17">
      <c r="A65" s="5" t="s">
        <v>133</v>
      </c>
      <c r="B65" s="20" t="s">
        <v>134</v>
      </c>
      <c r="C65" s="20"/>
      <c r="D65" s="7"/>
      <c r="E65" s="9"/>
      <c r="F65" s="9"/>
      <c r="G65" s="9"/>
      <c r="H65" s="9"/>
      <c r="I65" s="9"/>
      <c r="J65" s="9">
        <v>50</v>
      </c>
      <c r="K65" s="9">
        <v>40</v>
      </c>
      <c r="L65" s="9">
        <v>32</v>
      </c>
      <c r="M65" s="9">
        <v>41</v>
      </c>
      <c r="N65" s="9">
        <v>9</v>
      </c>
      <c r="O65" s="9"/>
      <c r="P65" s="8">
        <f t="shared" si="1"/>
        <v>172</v>
      </c>
      <c r="Q65" s="7"/>
    </row>
    <row r="66" spans="1:17">
      <c r="A66" s="5" t="s">
        <v>135</v>
      </c>
      <c r="B66" s="20" t="s">
        <v>136</v>
      </c>
      <c r="C66" s="20"/>
      <c r="D66" s="7"/>
      <c r="E66" s="9"/>
      <c r="F66" s="9"/>
      <c r="G66" s="9"/>
      <c r="H66" s="9"/>
      <c r="I66" s="9"/>
      <c r="J66" s="9"/>
      <c r="K66" s="9"/>
      <c r="L66" s="9"/>
      <c r="M66" s="9"/>
      <c r="N66" s="9"/>
      <c r="O66" s="9">
        <v>4</v>
      </c>
      <c r="P66" s="8">
        <f t="shared" si="1"/>
        <v>4</v>
      </c>
      <c r="Q66" s="7"/>
    </row>
    <row r="67" spans="1:17" ht="56.25">
      <c r="A67" s="5" t="s">
        <v>137</v>
      </c>
      <c r="B67" s="6" t="s">
        <v>138</v>
      </c>
      <c r="C67" s="6"/>
      <c r="D67" s="7" t="s">
        <v>302</v>
      </c>
      <c r="E67" s="8">
        <f>E68+E69+E70+E71</f>
        <v>837</v>
      </c>
      <c r="F67" s="8">
        <f t="shared" ref="F67:O67" si="43">F68+F69+F70+F71</f>
        <v>771</v>
      </c>
      <c r="G67" s="8">
        <f t="shared" si="43"/>
        <v>1230</v>
      </c>
      <c r="H67" s="8">
        <f t="shared" si="43"/>
        <v>934</v>
      </c>
      <c r="I67" s="8">
        <f t="shared" si="43"/>
        <v>1270</v>
      </c>
      <c r="J67" s="8">
        <f t="shared" si="43"/>
        <v>449</v>
      </c>
      <c r="K67" s="8">
        <f t="shared" si="43"/>
        <v>336</v>
      </c>
      <c r="L67" s="8">
        <f t="shared" si="43"/>
        <v>251</v>
      </c>
      <c r="M67" s="8">
        <f t="shared" si="43"/>
        <v>306</v>
      </c>
      <c r="N67" s="8">
        <f t="shared" si="43"/>
        <v>83</v>
      </c>
      <c r="O67" s="8">
        <f t="shared" si="43"/>
        <v>0</v>
      </c>
      <c r="P67" s="8">
        <f t="shared" si="1"/>
        <v>6467</v>
      </c>
      <c r="Q67" s="7"/>
    </row>
    <row r="68" spans="1:17">
      <c r="A68" s="5" t="s">
        <v>139</v>
      </c>
      <c r="B68" s="20" t="s">
        <v>130</v>
      </c>
      <c r="C68" s="20"/>
      <c r="D68" s="7"/>
      <c r="E68" s="9">
        <v>837</v>
      </c>
      <c r="F68" s="9">
        <v>771</v>
      </c>
      <c r="G68" s="9">
        <v>621</v>
      </c>
      <c r="H68" s="9"/>
      <c r="I68" s="9"/>
      <c r="J68" s="9"/>
      <c r="K68" s="9"/>
      <c r="L68" s="9"/>
      <c r="M68" s="9"/>
      <c r="N68" s="9"/>
      <c r="O68" s="9"/>
      <c r="P68" s="8">
        <f t="shared" ref="P68:P74" si="44">SUM(E68:O68)</f>
        <v>2229</v>
      </c>
      <c r="Q68" s="7"/>
    </row>
    <row r="69" spans="1:17">
      <c r="A69" s="5" t="s">
        <v>140</v>
      </c>
      <c r="B69" s="20" t="s">
        <v>132</v>
      </c>
      <c r="C69" s="20"/>
      <c r="D69" s="7"/>
      <c r="E69" s="9"/>
      <c r="F69" s="9"/>
      <c r="G69" s="9">
        <v>609</v>
      </c>
      <c r="H69" s="9">
        <v>934</v>
      </c>
      <c r="I69" s="9">
        <v>1270</v>
      </c>
      <c r="J69" s="9"/>
      <c r="K69" s="9"/>
      <c r="L69" s="9"/>
      <c r="M69" s="9"/>
      <c r="N69" s="9"/>
      <c r="O69" s="9"/>
      <c r="P69" s="8">
        <f t="shared" si="44"/>
        <v>2813</v>
      </c>
      <c r="Q69" s="7"/>
    </row>
    <row r="70" spans="1:17">
      <c r="A70" s="5" t="s">
        <v>141</v>
      </c>
      <c r="B70" s="20" t="s">
        <v>134</v>
      </c>
      <c r="C70" s="20"/>
      <c r="D70" s="7"/>
      <c r="E70" s="9"/>
      <c r="F70" s="9"/>
      <c r="G70" s="9"/>
      <c r="H70" s="9"/>
      <c r="I70" s="9"/>
      <c r="J70" s="9">
        <v>449</v>
      </c>
      <c r="K70" s="9">
        <v>336</v>
      </c>
      <c r="L70" s="9">
        <v>251</v>
      </c>
      <c r="M70" s="9">
        <v>306</v>
      </c>
      <c r="N70" s="9">
        <v>83</v>
      </c>
      <c r="O70" s="9"/>
      <c r="P70" s="8">
        <f t="shared" si="44"/>
        <v>1425</v>
      </c>
      <c r="Q70" s="7"/>
    </row>
    <row r="71" spans="1:17">
      <c r="A71" s="5" t="s">
        <v>142</v>
      </c>
      <c r="B71" s="20" t="s">
        <v>136</v>
      </c>
      <c r="C71" s="20"/>
      <c r="D71" s="7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8">
        <f t="shared" si="44"/>
        <v>0</v>
      </c>
      <c r="Q71" s="7"/>
    </row>
    <row r="72" spans="1:17">
      <c r="A72" s="5" t="s">
        <v>143</v>
      </c>
      <c r="B72" s="6" t="s">
        <v>303</v>
      </c>
      <c r="C72" s="6"/>
      <c r="D72" s="7"/>
      <c r="E72" s="9">
        <v>83</v>
      </c>
      <c r="F72" s="9">
        <v>41</v>
      </c>
      <c r="G72" s="9">
        <v>48</v>
      </c>
      <c r="H72" s="9">
        <v>40</v>
      </c>
      <c r="I72" s="9">
        <v>111</v>
      </c>
      <c r="J72" s="9">
        <v>22</v>
      </c>
      <c r="K72" s="9">
        <v>9</v>
      </c>
      <c r="L72" s="9">
        <v>13</v>
      </c>
      <c r="M72" s="9">
        <v>10</v>
      </c>
      <c r="N72" s="9"/>
      <c r="O72" s="9"/>
      <c r="P72" s="8">
        <f t="shared" si="44"/>
        <v>377</v>
      </c>
      <c r="Q72" s="7"/>
    </row>
    <row r="73" spans="1:17">
      <c r="A73" s="5" t="s">
        <v>144</v>
      </c>
      <c r="B73" s="20" t="s">
        <v>304</v>
      </c>
      <c r="C73" s="20"/>
      <c r="D73" s="11"/>
      <c r="E73" s="9">
        <v>18973.95</v>
      </c>
      <c r="F73" s="9">
        <v>12080.05</v>
      </c>
      <c r="G73" s="9">
        <v>19156.12</v>
      </c>
      <c r="H73" s="9">
        <v>11355.81</v>
      </c>
      <c r="I73" s="9">
        <v>13514.56</v>
      </c>
      <c r="J73" s="9">
        <v>12231.55</v>
      </c>
      <c r="K73" s="9">
        <v>5768.05</v>
      </c>
      <c r="L73" s="9">
        <v>4569.24</v>
      </c>
      <c r="M73" s="9">
        <v>6511.75</v>
      </c>
      <c r="N73" s="9">
        <v>7288</v>
      </c>
      <c r="O73" s="9">
        <v>4307</v>
      </c>
      <c r="P73" s="8">
        <f t="shared" si="44"/>
        <v>115756.08</v>
      </c>
      <c r="Q73" s="7"/>
    </row>
    <row r="74" spans="1:17">
      <c r="A74" s="5" t="s">
        <v>145</v>
      </c>
      <c r="B74" s="20" t="s">
        <v>305</v>
      </c>
      <c r="C74" s="20"/>
      <c r="D74" s="11"/>
      <c r="E74" s="9">
        <v>3657.06</v>
      </c>
      <c r="F74" s="9">
        <v>6113.2</v>
      </c>
      <c r="G74" s="9">
        <v>8910.7999999999993</v>
      </c>
      <c r="H74" s="9">
        <v>3363</v>
      </c>
      <c r="I74" s="9">
        <v>7968</v>
      </c>
      <c r="J74" s="9">
        <v>3780</v>
      </c>
      <c r="K74" s="9">
        <v>2983.5</v>
      </c>
      <c r="L74" s="9">
        <v>916</v>
      </c>
      <c r="M74" s="9">
        <v>3529</v>
      </c>
      <c r="N74" s="9">
        <v>3983.2</v>
      </c>
      <c r="O74" s="9">
        <v>280</v>
      </c>
      <c r="P74" s="8">
        <f t="shared" si="44"/>
        <v>45483.759999999995</v>
      </c>
      <c r="Q74" s="7"/>
    </row>
  </sheetData>
  <protectedRanges>
    <protectedRange password="E9C1" sqref="D30 C31 A5:D6 B7:D29 B32:D74 P5:Q74 A7:A74 A2:Q4" name="区域1_1"/>
    <protectedRange password="E9C1" sqref="B30:C30 B31" name="区域1_1_1"/>
    <protectedRange password="E9C1" sqref="D31" name="区域1_2"/>
  </protectedRanges>
  <mergeCells count="7">
    <mergeCell ref="A1:Q1"/>
    <mergeCell ref="A2:A3"/>
    <mergeCell ref="B2:B3"/>
    <mergeCell ref="C2:C3"/>
    <mergeCell ref="D2:D3"/>
    <mergeCell ref="P2:P3"/>
    <mergeCell ref="Q2:Q3"/>
  </mergeCells>
  <phoneticPr fontId="2" type="noConversion"/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>
  <dimension ref="A1:WUZ10"/>
  <sheetViews>
    <sheetView tabSelected="1" workbookViewId="0">
      <selection activeCell="B9" sqref="B9"/>
    </sheetView>
  </sheetViews>
  <sheetFormatPr defaultColWidth="9" defaultRowHeight="13.5"/>
  <cols>
    <col min="1" max="1" width="14.125" style="83" customWidth="1"/>
    <col min="2" max="2" width="25.625" style="90" customWidth="1"/>
    <col min="3" max="3" width="25.625" style="83" customWidth="1"/>
    <col min="4" max="236" width="9" style="83"/>
    <col min="237" max="237" width="6.625" style="83" customWidth="1"/>
    <col min="238" max="239" width="21.625" style="83" customWidth="1"/>
    <col min="240" max="240" width="16.125" style="83" customWidth="1"/>
    <col min="241" max="241" width="13.875" style="83" customWidth="1"/>
    <col min="242" max="242" width="17.25" style="83" customWidth="1"/>
    <col min="243" max="244" width="20.5" style="83" customWidth="1"/>
    <col min="245" max="245" width="9" style="83" hidden="1" customWidth="1"/>
    <col min="246" max="246" width="18.375" style="83" customWidth="1"/>
    <col min="247" max="248" width="9" style="83" hidden="1" customWidth="1"/>
    <col min="249" max="492" width="9" style="83"/>
    <col min="493" max="493" width="6.625" style="83" customWidth="1"/>
    <col min="494" max="495" width="21.625" style="83" customWidth="1"/>
    <col min="496" max="496" width="16.125" style="83" customWidth="1"/>
    <col min="497" max="497" width="13.875" style="83" customWidth="1"/>
    <col min="498" max="498" width="17.25" style="83" customWidth="1"/>
    <col min="499" max="500" width="20.5" style="83" customWidth="1"/>
    <col min="501" max="501" width="9" style="83" hidden="1" customWidth="1"/>
    <col min="502" max="502" width="18.375" style="83" customWidth="1"/>
    <col min="503" max="504" width="9" style="83" hidden="1" customWidth="1"/>
    <col min="505" max="748" width="9" style="83"/>
    <col min="749" max="749" width="6.625" style="83" customWidth="1"/>
    <col min="750" max="751" width="21.625" style="83" customWidth="1"/>
    <col min="752" max="752" width="16.125" style="83" customWidth="1"/>
    <col min="753" max="753" width="13.875" style="83" customWidth="1"/>
    <col min="754" max="754" width="17.25" style="83" customWidth="1"/>
    <col min="755" max="756" width="20.5" style="83" customWidth="1"/>
    <col min="757" max="757" width="9" style="83" hidden="1" customWidth="1"/>
    <col min="758" max="758" width="18.375" style="83" customWidth="1"/>
    <col min="759" max="760" width="9" style="83" hidden="1" customWidth="1"/>
    <col min="761" max="1004" width="9" style="83"/>
    <col min="1005" max="1005" width="6.625" style="83" customWidth="1"/>
    <col min="1006" max="1007" width="21.625" style="83" customWidth="1"/>
    <col min="1008" max="1008" width="16.125" style="83" customWidth="1"/>
    <col min="1009" max="1009" width="13.875" style="83" customWidth="1"/>
    <col min="1010" max="1010" width="17.25" style="83" customWidth="1"/>
    <col min="1011" max="1012" width="20.5" style="83" customWidth="1"/>
    <col min="1013" max="1013" width="9" style="83" hidden="1" customWidth="1"/>
    <col min="1014" max="1014" width="18.375" style="83" customWidth="1"/>
    <col min="1015" max="1016" width="9" style="83" hidden="1" customWidth="1"/>
    <col min="1017" max="1260" width="9" style="83"/>
    <col min="1261" max="1261" width="6.625" style="83" customWidth="1"/>
    <col min="1262" max="1263" width="21.625" style="83" customWidth="1"/>
    <col min="1264" max="1264" width="16.125" style="83" customWidth="1"/>
    <col min="1265" max="1265" width="13.875" style="83" customWidth="1"/>
    <col min="1266" max="1266" width="17.25" style="83" customWidth="1"/>
    <col min="1267" max="1268" width="20.5" style="83" customWidth="1"/>
    <col min="1269" max="1269" width="9" style="83" hidden="1" customWidth="1"/>
    <col min="1270" max="1270" width="18.375" style="83" customWidth="1"/>
    <col min="1271" max="1272" width="9" style="83" hidden="1" customWidth="1"/>
    <col min="1273" max="1516" width="9" style="83"/>
    <col min="1517" max="1517" width="6.625" style="83" customWidth="1"/>
    <col min="1518" max="1519" width="21.625" style="83" customWidth="1"/>
    <col min="1520" max="1520" width="16.125" style="83" customWidth="1"/>
    <col min="1521" max="1521" width="13.875" style="83" customWidth="1"/>
    <col min="1522" max="1522" width="17.25" style="83" customWidth="1"/>
    <col min="1523" max="1524" width="20.5" style="83" customWidth="1"/>
    <col min="1525" max="1525" width="9" style="83" hidden="1" customWidth="1"/>
    <col min="1526" max="1526" width="18.375" style="83" customWidth="1"/>
    <col min="1527" max="1528" width="9" style="83" hidden="1" customWidth="1"/>
    <col min="1529" max="1772" width="9" style="83"/>
    <col min="1773" max="1773" width="6.625" style="83" customWidth="1"/>
    <col min="1774" max="1775" width="21.625" style="83" customWidth="1"/>
    <col min="1776" max="1776" width="16.125" style="83" customWidth="1"/>
    <col min="1777" max="1777" width="13.875" style="83" customWidth="1"/>
    <col min="1778" max="1778" width="17.25" style="83" customWidth="1"/>
    <col min="1779" max="1780" width="20.5" style="83" customWidth="1"/>
    <col min="1781" max="1781" width="9" style="83" hidden="1" customWidth="1"/>
    <col min="1782" max="1782" width="18.375" style="83" customWidth="1"/>
    <col min="1783" max="1784" width="9" style="83" hidden="1" customWidth="1"/>
    <col min="1785" max="2028" width="9" style="83"/>
    <col min="2029" max="2029" width="6.625" style="83" customWidth="1"/>
    <col min="2030" max="2031" width="21.625" style="83" customWidth="1"/>
    <col min="2032" max="2032" width="16.125" style="83" customWidth="1"/>
    <col min="2033" max="2033" width="13.875" style="83" customWidth="1"/>
    <col min="2034" max="2034" width="17.25" style="83" customWidth="1"/>
    <col min="2035" max="2036" width="20.5" style="83" customWidth="1"/>
    <col min="2037" max="2037" width="9" style="83" hidden="1" customWidth="1"/>
    <col min="2038" max="2038" width="18.375" style="83" customWidth="1"/>
    <col min="2039" max="2040" width="9" style="83" hidden="1" customWidth="1"/>
    <col min="2041" max="2284" width="9" style="83"/>
    <col min="2285" max="2285" width="6.625" style="83" customWidth="1"/>
    <col min="2286" max="2287" width="21.625" style="83" customWidth="1"/>
    <col min="2288" max="2288" width="16.125" style="83" customWidth="1"/>
    <col min="2289" max="2289" width="13.875" style="83" customWidth="1"/>
    <col min="2290" max="2290" width="17.25" style="83" customWidth="1"/>
    <col min="2291" max="2292" width="20.5" style="83" customWidth="1"/>
    <col min="2293" max="2293" width="9" style="83" hidden="1" customWidth="1"/>
    <col min="2294" max="2294" width="18.375" style="83" customWidth="1"/>
    <col min="2295" max="2296" width="9" style="83" hidden="1" customWidth="1"/>
    <col min="2297" max="2540" width="9" style="83"/>
    <col min="2541" max="2541" width="6.625" style="83" customWidth="1"/>
    <col min="2542" max="2543" width="21.625" style="83" customWidth="1"/>
    <col min="2544" max="2544" width="16.125" style="83" customWidth="1"/>
    <col min="2545" max="2545" width="13.875" style="83" customWidth="1"/>
    <col min="2546" max="2546" width="17.25" style="83" customWidth="1"/>
    <col min="2547" max="2548" width="20.5" style="83" customWidth="1"/>
    <col min="2549" max="2549" width="9" style="83" hidden="1" customWidth="1"/>
    <col min="2550" max="2550" width="18.375" style="83" customWidth="1"/>
    <col min="2551" max="2552" width="9" style="83" hidden="1" customWidth="1"/>
    <col min="2553" max="2796" width="9" style="83"/>
    <col min="2797" max="2797" width="6.625" style="83" customWidth="1"/>
    <col min="2798" max="2799" width="21.625" style="83" customWidth="1"/>
    <col min="2800" max="2800" width="16.125" style="83" customWidth="1"/>
    <col min="2801" max="2801" width="13.875" style="83" customWidth="1"/>
    <col min="2802" max="2802" width="17.25" style="83" customWidth="1"/>
    <col min="2803" max="2804" width="20.5" style="83" customWidth="1"/>
    <col min="2805" max="2805" width="9" style="83" hidden="1" customWidth="1"/>
    <col min="2806" max="2806" width="18.375" style="83" customWidth="1"/>
    <col min="2807" max="2808" width="9" style="83" hidden="1" customWidth="1"/>
    <col min="2809" max="3052" width="9" style="83"/>
    <col min="3053" max="3053" width="6.625" style="83" customWidth="1"/>
    <col min="3054" max="3055" width="21.625" style="83" customWidth="1"/>
    <col min="3056" max="3056" width="16.125" style="83" customWidth="1"/>
    <col min="3057" max="3057" width="13.875" style="83" customWidth="1"/>
    <col min="3058" max="3058" width="17.25" style="83" customWidth="1"/>
    <col min="3059" max="3060" width="20.5" style="83" customWidth="1"/>
    <col min="3061" max="3061" width="9" style="83" hidden="1" customWidth="1"/>
    <col min="3062" max="3062" width="18.375" style="83" customWidth="1"/>
    <col min="3063" max="3064" width="9" style="83" hidden="1" customWidth="1"/>
    <col min="3065" max="3308" width="9" style="83"/>
    <col min="3309" max="3309" width="6.625" style="83" customWidth="1"/>
    <col min="3310" max="3311" width="21.625" style="83" customWidth="1"/>
    <col min="3312" max="3312" width="16.125" style="83" customWidth="1"/>
    <col min="3313" max="3313" width="13.875" style="83" customWidth="1"/>
    <col min="3314" max="3314" width="17.25" style="83" customWidth="1"/>
    <col min="3315" max="3316" width="20.5" style="83" customWidth="1"/>
    <col min="3317" max="3317" width="9" style="83" hidden="1" customWidth="1"/>
    <col min="3318" max="3318" width="18.375" style="83" customWidth="1"/>
    <col min="3319" max="3320" width="9" style="83" hidden="1" customWidth="1"/>
    <col min="3321" max="3564" width="9" style="83"/>
    <col min="3565" max="3565" width="6.625" style="83" customWidth="1"/>
    <col min="3566" max="3567" width="21.625" style="83" customWidth="1"/>
    <col min="3568" max="3568" width="16.125" style="83" customWidth="1"/>
    <col min="3569" max="3569" width="13.875" style="83" customWidth="1"/>
    <col min="3570" max="3570" width="17.25" style="83" customWidth="1"/>
    <col min="3571" max="3572" width="20.5" style="83" customWidth="1"/>
    <col min="3573" max="3573" width="9" style="83" hidden="1" customWidth="1"/>
    <col min="3574" max="3574" width="18.375" style="83" customWidth="1"/>
    <col min="3575" max="3576" width="9" style="83" hidden="1" customWidth="1"/>
    <col min="3577" max="3820" width="9" style="83"/>
    <col min="3821" max="3821" width="6.625" style="83" customWidth="1"/>
    <col min="3822" max="3823" width="21.625" style="83" customWidth="1"/>
    <col min="3824" max="3824" width="16.125" style="83" customWidth="1"/>
    <col min="3825" max="3825" width="13.875" style="83" customWidth="1"/>
    <col min="3826" max="3826" width="17.25" style="83" customWidth="1"/>
    <col min="3827" max="3828" width="20.5" style="83" customWidth="1"/>
    <col min="3829" max="3829" width="9" style="83" hidden="1" customWidth="1"/>
    <col min="3830" max="3830" width="18.375" style="83" customWidth="1"/>
    <col min="3831" max="3832" width="9" style="83" hidden="1" customWidth="1"/>
    <col min="3833" max="4076" width="9" style="83"/>
    <col min="4077" max="4077" width="6.625" style="83" customWidth="1"/>
    <col min="4078" max="4079" width="21.625" style="83" customWidth="1"/>
    <col min="4080" max="4080" width="16.125" style="83" customWidth="1"/>
    <col min="4081" max="4081" width="13.875" style="83" customWidth="1"/>
    <col min="4082" max="4082" width="17.25" style="83" customWidth="1"/>
    <col min="4083" max="4084" width="20.5" style="83" customWidth="1"/>
    <col min="4085" max="4085" width="9" style="83" hidden="1" customWidth="1"/>
    <col min="4086" max="4086" width="18.375" style="83" customWidth="1"/>
    <col min="4087" max="4088" width="9" style="83" hidden="1" customWidth="1"/>
    <col min="4089" max="4332" width="9" style="83"/>
    <col min="4333" max="4333" width="6.625" style="83" customWidth="1"/>
    <col min="4334" max="4335" width="21.625" style="83" customWidth="1"/>
    <col min="4336" max="4336" width="16.125" style="83" customWidth="1"/>
    <col min="4337" max="4337" width="13.875" style="83" customWidth="1"/>
    <col min="4338" max="4338" width="17.25" style="83" customWidth="1"/>
    <col min="4339" max="4340" width="20.5" style="83" customWidth="1"/>
    <col min="4341" max="4341" width="9" style="83" hidden="1" customWidth="1"/>
    <col min="4342" max="4342" width="18.375" style="83" customWidth="1"/>
    <col min="4343" max="4344" width="9" style="83" hidden="1" customWidth="1"/>
    <col min="4345" max="4588" width="9" style="83"/>
    <col min="4589" max="4589" width="6.625" style="83" customWidth="1"/>
    <col min="4590" max="4591" width="21.625" style="83" customWidth="1"/>
    <col min="4592" max="4592" width="16.125" style="83" customWidth="1"/>
    <col min="4593" max="4593" width="13.875" style="83" customWidth="1"/>
    <col min="4594" max="4594" width="17.25" style="83" customWidth="1"/>
    <col min="4595" max="4596" width="20.5" style="83" customWidth="1"/>
    <col min="4597" max="4597" width="9" style="83" hidden="1" customWidth="1"/>
    <col min="4598" max="4598" width="18.375" style="83" customWidth="1"/>
    <col min="4599" max="4600" width="9" style="83" hidden="1" customWidth="1"/>
    <col min="4601" max="4844" width="9" style="83"/>
    <col min="4845" max="4845" width="6.625" style="83" customWidth="1"/>
    <col min="4846" max="4847" width="21.625" style="83" customWidth="1"/>
    <col min="4848" max="4848" width="16.125" style="83" customWidth="1"/>
    <col min="4849" max="4849" width="13.875" style="83" customWidth="1"/>
    <col min="4850" max="4850" width="17.25" style="83" customWidth="1"/>
    <col min="4851" max="4852" width="20.5" style="83" customWidth="1"/>
    <col min="4853" max="4853" width="9" style="83" hidden="1" customWidth="1"/>
    <col min="4854" max="4854" width="18.375" style="83" customWidth="1"/>
    <col min="4855" max="4856" width="9" style="83" hidden="1" customWidth="1"/>
    <col min="4857" max="5100" width="9" style="83"/>
    <col min="5101" max="5101" width="6.625" style="83" customWidth="1"/>
    <col min="5102" max="5103" width="21.625" style="83" customWidth="1"/>
    <col min="5104" max="5104" width="16.125" style="83" customWidth="1"/>
    <col min="5105" max="5105" width="13.875" style="83" customWidth="1"/>
    <col min="5106" max="5106" width="17.25" style="83" customWidth="1"/>
    <col min="5107" max="5108" width="20.5" style="83" customWidth="1"/>
    <col min="5109" max="5109" width="9" style="83" hidden="1" customWidth="1"/>
    <col min="5110" max="5110" width="18.375" style="83" customWidth="1"/>
    <col min="5111" max="5112" width="9" style="83" hidden="1" customWidth="1"/>
    <col min="5113" max="5356" width="9" style="83"/>
    <col min="5357" max="5357" width="6.625" style="83" customWidth="1"/>
    <col min="5358" max="5359" width="21.625" style="83" customWidth="1"/>
    <col min="5360" max="5360" width="16.125" style="83" customWidth="1"/>
    <col min="5361" max="5361" width="13.875" style="83" customWidth="1"/>
    <col min="5362" max="5362" width="17.25" style="83" customWidth="1"/>
    <col min="5363" max="5364" width="20.5" style="83" customWidth="1"/>
    <col min="5365" max="5365" width="9" style="83" hidden="1" customWidth="1"/>
    <col min="5366" max="5366" width="18.375" style="83" customWidth="1"/>
    <col min="5367" max="5368" width="9" style="83" hidden="1" customWidth="1"/>
    <col min="5369" max="5612" width="9" style="83"/>
    <col min="5613" max="5613" width="6.625" style="83" customWidth="1"/>
    <col min="5614" max="5615" width="21.625" style="83" customWidth="1"/>
    <col min="5616" max="5616" width="16.125" style="83" customWidth="1"/>
    <col min="5617" max="5617" width="13.875" style="83" customWidth="1"/>
    <col min="5618" max="5618" width="17.25" style="83" customWidth="1"/>
    <col min="5619" max="5620" width="20.5" style="83" customWidth="1"/>
    <col min="5621" max="5621" width="9" style="83" hidden="1" customWidth="1"/>
    <col min="5622" max="5622" width="18.375" style="83" customWidth="1"/>
    <col min="5623" max="5624" width="9" style="83" hidden="1" customWidth="1"/>
    <col min="5625" max="5868" width="9" style="83"/>
    <col min="5869" max="5869" width="6.625" style="83" customWidth="1"/>
    <col min="5870" max="5871" width="21.625" style="83" customWidth="1"/>
    <col min="5872" max="5872" width="16.125" style="83" customWidth="1"/>
    <col min="5873" max="5873" width="13.875" style="83" customWidth="1"/>
    <col min="5874" max="5874" width="17.25" style="83" customWidth="1"/>
    <col min="5875" max="5876" width="20.5" style="83" customWidth="1"/>
    <col min="5877" max="5877" width="9" style="83" hidden="1" customWidth="1"/>
    <col min="5878" max="5878" width="18.375" style="83" customWidth="1"/>
    <col min="5879" max="5880" width="9" style="83" hidden="1" customWidth="1"/>
    <col min="5881" max="6124" width="9" style="83"/>
    <col min="6125" max="6125" width="6.625" style="83" customWidth="1"/>
    <col min="6126" max="6127" width="21.625" style="83" customWidth="1"/>
    <col min="6128" max="6128" width="16.125" style="83" customWidth="1"/>
    <col min="6129" max="6129" width="13.875" style="83" customWidth="1"/>
    <col min="6130" max="6130" width="17.25" style="83" customWidth="1"/>
    <col min="6131" max="6132" width="20.5" style="83" customWidth="1"/>
    <col min="6133" max="6133" width="9" style="83" hidden="1" customWidth="1"/>
    <col min="6134" max="6134" width="18.375" style="83" customWidth="1"/>
    <col min="6135" max="6136" width="9" style="83" hidden="1" customWidth="1"/>
    <col min="6137" max="6380" width="9" style="83"/>
    <col min="6381" max="6381" width="6.625" style="83" customWidth="1"/>
    <col min="6382" max="6383" width="21.625" style="83" customWidth="1"/>
    <col min="6384" max="6384" width="16.125" style="83" customWidth="1"/>
    <col min="6385" max="6385" width="13.875" style="83" customWidth="1"/>
    <col min="6386" max="6386" width="17.25" style="83" customWidth="1"/>
    <col min="6387" max="6388" width="20.5" style="83" customWidth="1"/>
    <col min="6389" max="6389" width="9" style="83" hidden="1" customWidth="1"/>
    <col min="6390" max="6390" width="18.375" style="83" customWidth="1"/>
    <col min="6391" max="6392" width="9" style="83" hidden="1" customWidth="1"/>
    <col min="6393" max="6636" width="9" style="83"/>
    <col min="6637" max="6637" width="6.625" style="83" customWidth="1"/>
    <col min="6638" max="6639" width="21.625" style="83" customWidth="1"/>
    <col min="6640" max="6640" width="16.125" style="83" customWidth="1"/>
    <col min="6641" max="6641" width="13.875" style="83" customWidth="1"/>
    <col min="6642" max="6642" width="17.25" style="83" customWidth="1"/>
    <col min="6643" max="6644" width="20.5" style="83" customWidth="1"/>
    <col min="6645" max="6645" width="9" style="83" hidden="1" customWidth="1"/>
    <col min="6646" max="6646" width="18.375" style="83" customWidth="1"/>
    <col min="6647" max="6648" width="9" style="83" hidden="1" customWidth="1"/>
    <col min="6649" max="6892" width="9" style="83"/>
    <col min="6893" max="6893" width="6.625" style="83" customWidth="1"/>
    <col min="6894" max="6895" width="21.625" style="83" customWidth="1"/>
    <col min="6896" max="6896" width="16.125" style="83" customWidth="1"/>
    <col min="6897" max="6897" width="13.875" style="83" customWidth="1"/>
    <col min="6898" max="6898" width="17.25" style="83" customWidth="1"/>
    <col min="6899" max="6900" width="20.5" style="83" customWidth="1"/>
    <col min="6901" max="6901" width="9" style="83" hidden="1" customWidth="1"/>
    <col min="6902" max="6902" width="18.375" style="83" customWidth="1"/>
    <col min="6903" max="6904" width="9" style="83" hidden="1" customWidth="1"/>
    <col min="6905" max="7148" width="9" style="83"/>
    <col min="7149" max="7149" width="6.625" style="83" customWidth="1"/>
    <col min="7150" max="7151" width="21.625" style="83" customWidth="1"/>
    <col min="7152" max="7152" width="16.125" style="83" customWidth="1"/>
    <col min="7153" max="7153" width="13.875" style="83" customWidth="1"/>
    <col min="7154" max="7154" width="17.25" style="83" customWidth="1"/>
    <col min="7155" max="7156" width="20.5" style="83" customWidth="1"/>
    <col min="7157" max="7157" width="9" style="83" hidden="1" customWidth="1"/>
    <col min="7158" max="7158" width="18.375" style="83" customWidth="1"/>
    <col min="7159" max="7160" width="9" style="83" hidden="1" customWidth="1"/>
    <col min="7161" max="7404" width="9" style="83"/>
    <col min="7405" max="7405" width="6.625" style="83" customWidth="1"/>
    <col min="7406" max="7407" width="21.625" style="83" customWidth="1"/>
    <col min="7408" max="7408" width="16.125" style="83" customWidth="1"/>
    <col min="7409" max="7409" width="13.875" style="83" customWidth="1"/>
    <col min="7410" max="7410" width="17.25" style="83" customWidth="1"/>
    <col min="7411" max="7412" width="20.5" style="83" customWidth="1"/>
    <col min="7413" max="7413" width="9" style="83" hidden="1" customWidth="1"/>
    <col min="7414" max="7414" width="18.375" style="83" customWidth="1"/>
    <col min="7415" max="7416" width="9" style="83" hidden="1" customWidth="1"/>
    <col min="7417" max="7660" width="9" style="83"/>
    <col min="7661" max="7661" width="6.625" style="83" customWidth="1"/>
    <col min="7662" max="7663" width="21.625" style="83" customWidth="1"/>
    <col min="7664" max="7664" width="16.125" style="83" customWidth="1"/>
    <col min="7665" max="7665" width="13.875" style="83" customWidth="1"/>
    <col min="7666" max="7666" width="17.25" style="83" customWidth="1"/>
    <col min="7667" max="7668" width="20.5" style="83" customWidth="1"/>
    <col min="7669" max="7669" width="9" style="83" hidden="1" customWidth="1"/>
    <col min="7670" max="7670" width="18.375" style="83" customWidth="1"/>
    <col min="7671" max="7672" width="9" style="83" hidden="1" customWidth="1"/>
    <col min="7673" max="7916" width="9" style="83"/>
    <col min="7917" max="7917" width="6.625" style="83" customWidth="1"/>
    <col min="7918" max="7919" width="21.625" style="83" customWidth="1"/>
    <col min="7920" max="7920" width="16.125" style="83" customWidth="1"/>
    <col min="7921" max="7921" width="13.875" style="83" customWidth="1"/>
    <col min="7922" max="7922" width="17.25" style="83" customWidth="1"/>
    <col min="7923" max="7924" width="20.5" style="83" customWidth="1"/>
    <col min="7925" max="7925" width="9" style="83" hidden="1" customWidth="1"/>
    <col min="7926" max="7926" width="18.375" style="83" customWidth="1"/>
    <col min="7927" max="7928" width="9" style="83" hidden="1" customWidth="1"/>
    <col min="7929" max="8172" width="9" style="83"/>
    <col min="8173" max="8173" width="6.625" style="83" customWidth="1"/>
    <col min="8174" max="8175" width="21.625" style="83" customWidth="1"/>
    <col min="8176" max="8176" width="16.125" style="83" customWidth="1"/>
    <col min="8177" max="8177" width="13.875" style="83" customWidth="1"/>
    <col min="8178" max="8178" width="17.25" style="83" customWidth="1"/>
    <col min="8179" max="8180" width="20.5" style="83" customWidth="1"/>
    <col min="8181" max="8181" width="9" style="83" hidden="1" customWidth="1"/>
    <col min="8182" max="8182" width="18.375" style="83" customWidth="1"/>
    <col min="8183" max="8184" width="9" style="83" hidden="1" customWidth="1"/>
    <col min="8185" max="8428" width="9" style="83"/>
    <col min="8429" max="8429" width="6.625" style="83" customWidth="1"/>
    <col min="8430" max="8431" width="21.625" style="83" customWidth="1"/>
    <col min="8432" max="8432" width="16.125" style="83" customWidth="1"/>
    <col min="8433" max="8433" width="13.875" style="83" customWidth="1"/>
    <col min="8434" max="8434" width="17.25" style="83" customWidth="1"/>
    <col min="8435" max="8436" width="20.5" style="83" customWidth="1"/>
    <col min="8437" max="8437" width="9" style="83" hidden="1" customWidth="1"/>
    <col min="8438" max="8438" width="18.375" style="83" customWidth="1"/>
    <col min="8439" max="8440" width="9" style="83" hidden="1" customWidth="1"/>
    <col min="8441" max="8684" width="9" style="83"/>
    <col min="8685" max="8685" width="6.625" style="83" customWidth="1"/>
    <col min="8686" max="8687" width="21.625" style="83" customWidth="1"/>
    <col min="8688" max="8688" width="16.125" style="83" customWidth="1"/>
    <col min="8689" max="8689" width="13.875" style="83" customWidth="1"/>
    <col min="8690" max="8690" width="17.25" style="83" customWidth="1"/>
    <col min="8691" max="8692" width="20.5" style="83" customWidth="1"/>
    <col min="8693" max="8693" width="9" style="83" hidden="1" customWidth="1"/>
    <col min="8694" max="8694" width="18.375" style="83" customWidth="1"/>
    <col min="8695" max="8696" width="9" style="83" hidden="1" customWidth="1"/>
    <col min="8697" max="8940" width="9" style="83"/>
    <col min="8941" max="8941" width="6.625" style="83" customWidth="1"/>
    <col min="8942" max="8943" width="21.625" style="83" customWidth="1"/>
    <col min="8944" max="8944" width="16.125" style="83" customWidth="1"/>
    <col min="8945" max="8945" width="13.875" style="83" customWidth="1"/>
    <col min="8946" max="8946" width="17.25" style="83" customWidth="1"/>
    <col min="8947" max="8948" width="20.5" style="83" customWidth="1"/>
    <col min="8949" max="8949" width="9" style="83" hidden="1" customWidth="1"/>
    <col min="8950" max="8950" width="18.375" style="83" customWidth="1"/>
    <col min="8951" max="8952" width="9" style="83" hidden="1" customWidth="1"/>
    <col min="8953" max="9196" width="9" style="83"/>
    <col min="9197" max="9197" width="6.625" style="83" customWidth="1"/>
    <col min="9198" max="9199" width="21.625" style="83" customWidth="1"/>
    <col min="9200" max="9200" width="16.125" style="83" customWidth="1"/>
    <col min="9201" max="9201" width="13.875" style="83" customWidth="1"/>
    <col min="9202" max="9202" width="17.25" style="83" customWidth="1"/>
    <col min="9203" max="9204" width="20.5" style="83" customWidth="1"/>
    <col min="9205" max="9205" width="9" style="83" hidden="1" customWidth="1"/>
    <col min="9206" max="9206" width="18.375" style="83" customWidth="1"/>
    <col min="9207" max="9208" width="9" style="83" hidden="1" customWidth="1"/>
    <col min="9209" max="9452" width="9" style="83"/>
    <col min="9453" max="9453" width="6.625" style="83" customWidth="1"/>
    <col min="9454" max="9455" width="21.625" style="83" customWidth="1"/>
    <col min="9456" max="9456" width="16.125" style="83" customWidth="1"/>
    <col min="9457" max="9457" width="13.875" style="83" customWidth="1"/>
    <col min="9458" max="9458" width="17.25" style="83" customWidth="1"/>
    <col min="9459" max="9460" width="20.5" style="83" customWidth="1"/>
    <col min="9461" max="9461" width="9" style="83" hidden="1" customWidth="1"/>
    <col min="9462" max="9462" width="18.375" style="83" customWidth="1"/>
    <col min="9463" max="9464" width="9" style="83" hidden="1" customWidth="1"/>
    <col min="9465" max="9708" width="9" style="83"/>
    <col min="9709" max="9709" width="6.625" style="83" customWidth="1"/>
    <col min="9710" max="9711" width="21.625" style="83" customWidth="1"/>
    <col min="9712" max="9712" width="16.125" style="83" customWidth="1"/>
    <col min="9713" max="9713" width="13.875" style="83" customWidth="1"/>
    <col min="9714" max="9714" width="17.25" style="83" customWidth="1"/>
    <col min="9715" max="9716" width="20.5" style="83" customWidth="1"/>
    <col min="9717" max="9717" width="9" style="83" hidden="1" customWidth="1"/>
    <col min="9718" max="9718" width="18.375" style="83" customWidth="1"/>
    <col min="9719" max="9720" width="9" style="83" hidden="1" customWidth="1"/>
    <col min="9721" max="9964" width="9" style="83"/>
    <col min="9965" max="9965" width="6.625" style="83" customWidth="1"/>
    <col min="9966" max="9967" width="21.625" style="83" customWidth="1"/>
    <col min="9968" max="9968" width="16.125" style="83" customWidth="1"/>
    <col min="9969" max="9969" width="13.875" style="83" customWidth="1"/>
    <col min="9970" max="9970" width="17.25" style="83" customWidth="1"/>
    <col min="9971" max="9972" width="20.5" style="83" customWidth="1"/>
    <col min="9973" max="9973" width="9" style="83" hidden="1" customWidth="1"/>
    <col min="9974" max="9974" width="18.375" style="83" customWidth="1"/>
    <col min="9975" max="9976" width="9" style="83" hidden="1" customWidth="1"/>
    <col min="9977" max="10220" width="9" style="83"/>
    <col min="10221" max="10221" width="6.625" style="83" customWidth="1"/>
    <col min="10222" max="10223" width="21.625" style="83" customWidth="1"/>
    <col min="10224" max="10224" width="16.125" style="83" customWidth="1"/>
    <col min="10225" max="10225" width="13.875" style="83" customWidth="1"/>
    <col min="10226" max="10226" width="17.25" style="83" customWidth="1"/>
    <col min="10227" max="10228" width="20.5" style="83" customWidth="1"/>
    <col min="10229" max="10229" width="9" style="83" hidden="1" customWidth="1"/>
    <col min="10230" max="10230" width="18.375" style="83" customWidth="1"/>
    <col min="10231" max="10232" width="9" style="83" hidden="1" customWidth="1"/>
    <col min="10233" max="10476" width="9" style="83"/>
    <col min="10477" max="10477" width="6.625" style="83" customWidth="1"/>
    <col min="10478" max="10479" width="21.625" style="83" customWidth="1"/>
    <col min="10480" max="10480" width="16.125" style="83" customWidth="1"/>
    <col min="10481" max="10481" width="13.875" style="83" customWidth="1"/>
    <col min="10482" max="10482" width="17.25" style="83" customWidth="1"/>
    <col min="10483" max="10484" width="20.5" style="83" customWidth="1"/>
    <col min="10485" max="10485" width="9" style="83" hidden="1" customWidth="1"/>
    <col min="10486" max="10486" width="18.375" style="83" customWidth="1"/>
    <col min="10487" max="10488" width="9" style="83" hidden="1" customWidth="1"/>
    <col min="10489" max="10732" width="9" style="83"/>
    <col min="10733" max="10733" width="6.625" style="83" customWidth="1"/>
    <col min="10734" max="10735" width="21.625" style="83" customWidth="1"/>
    <col min="10736" max="10736" width="16.125" style="83" customWidth="1"/>
    <col min="10737" max="10737" width="13.875" style="83" customWidth="1"/>
    <col min="10738" max="10738" width="17.25" style="83" customWidth="1"/>
    <col min="10739" max="10740" width="20.5" style="83" customWidth="1"/>
    <col min="10741" max="10741" width="9" style="83" hidden="1" customWidth="1"/>
    <col min="10742" max="10742" width="18.375" style="83" customWidth="1"/>
    <col min="10743" max="10744" width="9" style="83" hidden="1" customWidth="1"/>
    <col min="10745" max="10988" width="9" style="83"/>
    <col min="10989" max="10989" width="6.625" style="83" customWidth="1"/>
    <col min="10990" max="10991" width="21.625" style="83" customWidth="1"/>
    <col min="10992" max="10992" width="16.125" style="83" customWidth="1"/>
    <col min="10993" max="10993" width="13.875" style="83" customWidth="1"/>
    <col min="10994" max="10994" width="17.25" style="83" customWidth="1"/>
    <col min="10995" max="10996" width="20.5" style="83" customWidth="1"/>
    <col min="10997" max="10997" width="9" style="83" hidden="1" customWidth="1"/>
    <col min="10998" max="10998" width="18.375" style="83" customWidth="1"/>
    <col min="10999" max="11000" width="9" style="83" hidden="1" customWidth="1"/>
    <col min="11001" max="11244" width="9" style="83"/>
    <col min="11245" max="11245" width="6.625" style="83" customWidth="1"/>
    <col min="11246" max="11247" width="21.625" style="83" customWidth="1"/>
    <col min="11248" max="11248" width="16.125" style="83" customWidth="1"/>
    <col min="11249" max="11249" width="13.875" style="83" customWidth="1"/>
    <col min="11250" max="11250" width="17.25" style="83" customWidth="1"/>
    <col min="11251" max="11252" width="20.5" style="83" customWidth="1"/>
    <col min="11253" max="11253" width="9" style="83" hidden="1" customWidth="1"/>
    <col min="11254" max="11254" width="18.375" style="83" customWidth="1"/>
    <col min="11255" max="11256" width="9" style="83" hidden="1" customWidth="1"/>
    <col min="11257" max="11500" width="9" style="83"/>
    <col min="11501" max="11501" width="6.625" style="83" customWidth="1"/>
    <col min="11502" max="11503" width="21.625" style="83" customWidth="1"/>
    <col min="11504" max="11504" width="16.125" style="83" customWidth="1"/>
    <col min="11505" max="11505" width="13.875" style="83" customWidth="1"/>
    <col min="11506" max="11506" width="17.25" style="83" customWidth="1"/>
    <col min="11507" max="11508" width="20.5" style="83" customWidth="1"/>
    <col min="11509" max="11509" width="9" style="83" hidden="1" customWidth="1"/>
    <col min="11510" max="11510" width="18.375" style="83" customWidth="1"/>
    <col min="11511" max="11512" width="9" style="83" hidden="1" customWidth="1"/>
    <col min="11513" max="11756" width="9" style="83"/>
    <col min="11757" max="11757" width="6.625" style="83" customWidth="1"/>
    <col min="11758" max="11759" width="21.625" style="83" customWidth="1"/>
    <col min="11760" max="11760" width="16.125" style="83" customWidth="1"/>
    <col min="11761" max="11761" width="13.875" style="83" customWidth="1"/>
    <col min="11762" max="11762" width="17.25" style="83" customWidth="1"/>
    <col min="11763" max="11764" width="20.5" style="83" customWidth="1"/>
    <col min="11765" max="11765" width="9" style="83" hidden="1" customWidth="1"/>
    <col min="11766" max="11766" width="18.375" style="83" customWidth="1"/>
    <col min="11767" max="11768" width="9" style="83" hidden="1" customWidth="1"/>
    <col min="11769" max="12012" width="9" style="83"/>
    <col min="12013" max="12013" width="6.625" style="83" customWidth="1"/>
    <col min="12014" max="12015" width="21.625" style="83" customWidth="1"/>
    <col min="12016" max="12016" width="16.125" style="83" customWidth="1"/>
    <col min="12017" max="12017" width="13.875" style="83" customWidth="1"/>
    <col min="12018" max="12018" width="17.25" style="83" customWidth="1"/>
    <col min="12019" max="12020" width="20.5" style="83" customWidth="1"/>
    <col min="12021" max="12021" width="9" style="83" hidden="1" customWidth="1"/>
    <col min="12022" max="12022" width="18.375" style="83" customWidth="1"/>
    <col min="12023" max="12024" width="9" style="83" hidden="1" customWidth="1"/>
    <col min="12025" max="12268" width="9" style="83"/>
    <col min="12269" max="12269" width="6.625" style="83" customWidth="1"/>
    <col min="12270" max="12271" width="21.625" style="83" customWidth="1"/>
    <col min="12272" max="12272" width="16.125" style="83" customWidth="1"/>
    <col min="12273" max="12273" width="13.875" style="83" customWidth="1"/>
    <col min="12274" max="12274" width="17.25" style="83" customWidth="1"/>
    <col min="12275" max="12276" width="20.5" style="83" customWidth="1"/>
    <col min="12277" max="12277" width="9" style="83" hidden="1" customWidth="1"/>
    <col min="12278" max="12278" width="18.375" style="83" customWidth="1"/>
    <col min="12279" max="12280" width="9" style="83" hidden="1" customWidth="1"/>
    <col min="12281" max="12524" width="9" style="83"/>
    <col min="12525" max="12525" width="6.625" style="83" customWidth="1"/>
    <col min="12526" max="12527" width="21.625" style="83" customWidth="1"/>
    <col min="12528" max="12528" width="16.125" style="83" customWidth="1"/>
    <col min="12529" max="12529" width="13.875" style="83" customWidth="1"/>
    <col min="12530" max="12530" width="17.25" style="83" customWidth="1"/>
    <col min="12531" max="12532" width="20.5" style="83" customWidth="1"/>
    <col min="12533" max="12533" width="9" style="83" hidden="1" customWidth="1"/>
    <col min="12534" max="12534" width="18.375" style="83" customWidth="1"/>
    <col min="12535" max="12536" width="9" style="83" hidden="1" customWidth="1"/>
    <col min="12537" max="12780" width="9" style="83"/>
    <col min="12781" max="12781" width="6.625" style="83" customWidth="1"/>
    <col min="12782" max="12783" width="21.625" style="83" customWidth="1"/>
    <col min="12784" max="12784" width="16.125" style="83" customWidth="1"/>
    <col min="12785" max="12785" width="13.875" style="83" customWidth="1"/>
    <col min="12786" max="12786" width="17.25" style="83" customWidth="1"/>
    <col min="12787" max="12788" width="20.5" style="83" customWidth="1"/>
    <col min="12789" max="12789" width="9" style="83" hidden="1" customWidth="1"/>
    <col min="12790" max="12790" width="18.375" style="83" customWidth="1"/>
    <col min="12791" max="12792" width="9" style="83" hidden="1" customWidth="1"/>
    <col min="12793" max="13036" width="9" style="83"/>
    <col min="13037" max="13037" width="6.625" style="83" customWidth="1"/>
    <col min="13038" max="13039" width="21.625" style="83" customWidth="1"/>
    <col min="13040" max="13040" width="16.125" style="83" customWidth="1"/>
    <col min="13041" max="13041" width="13.875" style="83" customWidth="1"/>
    <col min="13042" max="13042" width="17.25" style="83" customWidth="1"/>
    <col min="13043" max="13044" width="20.5" style="83" customWidth="1"/>
    <col min="13045" max="13045" width="9" style="83" hidden="1" customWidth="1"/>
    <col min="13046" max="13046" width="18.375" style="83" customWidth="1"/>
    <col min="13047" max="13048" width="9" style="83" hidden="1" customWidth="1"/>
    <col min="13049" max="13292" width="9" style="83"/>
    <col min="13293" max="13293" width="6.625" style="83" customWidth="1"/>
    <col min="13294" max="13295" width="21.625" style="83" customWidth="1"/>
    <col min="13296" max="13296" width="16.125" style="83" customWidth="1"/>
    <col min="13297" max="13297" width="13.875" style="83" customWidth="1"/>
    <col min="13298" max="13298" width="17.25" style="83" customWidth="1"/>
    <col min="13299" max="13300" width="20.5" style="83" customWidth="1"/>
    <col min="13301" max="13301" width="9" style="83" hidden="1" customWidth="1"/>
    <col min="13302" max="13302" width="18.375" style="83" customWidth="1"/>
    <col min="13303" max="13304" width="9" style="83" hidden="1" customWidth="1"/>
    <col min="13305" max="13548" width="9" style="83"/>
    <col min="13549" max="13549" width="6.625" style="83" customWidth="1"/>
    <col min="13550" max="13551" width="21.625" style="83" customWidth="1"/>
    <col min="13552" max="13552" width="16.125" style="83" customWidth="1"/>
    <col min="13553" max="13553" width="13.875" style="83" customWidth="1"/>
    <col min="13554" max="13554" width="17.25" style="83" customWidth="1"/>
    <col min="13555" max="13556" width="20.5" style="83" customWidth="1"/>
    <col min="13557" max="13557" width="9" style="83" hidden="1" customWidth="1"/>
    <col min="13558" max="13558" width="18.375" style="83" customWidth="1"/>
    <col min="13559" max="13560" width="9" style="83" hidden="1" customWidth="1"/>
    <col min="13561" max="13804" width="9" style="83"/>
    <col min="13805" max="13805" width="6.625" style="83" customWidth="1"/>
    <col min="13806" max="13807" width="21.625" style="83" customWidth="1"/>
    <col min="13808" max="13808" width="16.125" style="83" customWidth="1"/>
    <col min="13809" max="13809" width="13.875" style="83" customWidth="1"/>
    <col min="13810" max="13810" width="17.25" style="83" customWidth="1"/>
    <col min="13811" max="13812" width="20.5" style="83" customWidth="1"/>
    <col min="13813" max="13813" width="9" style="83" hidden="1" customWidth="1"/>
    <col min="13814" max="13814" width="18.375" style="83" customWidth="1"/>
    <col min="13815" max="13816" width="9" style="83" hidden="1" customWidth="1"/>
    <col min="13817" max="14060" width="9" style="83"/>
    <col min="14061" max="14061" width="6.625" style="83" customWidth="1"/>
    <col min="14062" max="14063" width="21.625" style="83" customWidth="1"/>
    <col min="14064" max="14064" width="16.125" style="83" customWidth="1"/>
    <col min="14065" max="14065" width="13.875" style="83" customWidth="1"/>
    <col min="14066" max="14066" width="17.25" style="83" customWidth="1"/>
    <col min="14067" max="14068" width="20.5" style="83" customWidth="1"/>
    <col min="14069" max="14069" width="9" style="83" hidden="1" customWidth="1"/>
    <col min="14070" max="14070" width="18.375" style="83" customWidth="1"/>
    <col min="14071" max="14072" width="9" style="83" hidden="1" customWidth="1"/>
    <col min="14073" max="14316" width="9" style="83"/>
    <col min="14317" max="14317" width="6.625" style="83" customWidth="1"/>
    <col min="14318" max="14319" width="21.625" style="83" customWidth="1"/>
    <col min="14320" max="14320" width="16.125" style="83" customWidth="1"/>
    <col min="14321" max="14321" width="13.875" style="83" customWidth="1"/>
    <col min="14322" max="14322" width="17.25" style="83" customWidth="1"/>
    <col min="14323" max="14324" width="20.5" style="83" customWidth="1"/>
    <col min="14325" max="14325" width="9" style="83" hidden="1" customWidth="1"/>
    <col min="14326" max="14326" width="18.375" style="83" customWidth="1"/>
    <col min="14327" max="14328" width="9" style="83" hidden="1" customWidth="1"/>
    <col min="14329" max="14572" width="9" style="83"/>
    <col min="14573" max="14573" width="6.625" style="83" customWidth="1"/>
    <col min="14574" max="14575" width="21.625" style="83" customWidth="1"/>
    <col min="14576" max="14576" width="16.125" style="83" customWidth="1"/>
    <col min="14577" max="14577" width="13.875" style="83" customWidth="1"/>
    <col min="14578" max="14578" width="17.25" style="83" customWidth="1"/>
    <col min="14579" max="14580" width="20.5" style="83" customWidth="1"/>
    <col min="14581" max="14581" width="9" style="83" hidden="1" customWidth="1"/>
    <col min="14582" max="14582" width="18.375" style="83" customWidth="1"/>
    <col min="14583" max="14584" width="9" style="83" hidden="1" customWidth="1"/>
    <col min="14585" max="14828" width="9" style="83"/>
    <col min="14829" max="14829" width="6.625" style="83" customWidth="1"/>
    <col min="14830" max="14831" width="21.625" style="83" customWidth="1"/>
    <col min="14832" max="14832" width="16.125" style="83" customWidth="1"/>
    <col min="14833" max="14833" width="13.875" style="83" customWidth="1"/>
    <col min="14834" max="14834" width="17.25" style="83" customWidth="1"/>
    <col min="14835" max="14836" width="20.5" style="83" customWidth="1"/>
    <col min="14837" max="14837" width="9" style="83" hidden="1" customWidth="1"/>
    <col min="14838" max="14838" width="18.375" style="83" customWidth="1"/>
    <col min="14839" max="14840" width="9" style="83" hidden="1" customWidth="1"/>
    <col min="14841" max="15084" width="9" style="83"/>
    <col min="15085" max="15085" width="6.625" style="83" customWidth="1"/>
    <col min="15086" max="15087" width="21.625" style="83" customWidth="1"/>
    <col min="15088" max="15088" width="16.125" style="83" customWidth="1"/>
    <col min="15089" max="15089" width="13.875" style="83" customWidth="1"/>
    <col min="15090" max="15090" width="17.25" style="83" customWidth="1"/>
    <col min="15091" max="15092" width="20.5" style="83" customWidth="1"/>
    <col min="15093" max="15093" width="9" style="83" hidden="1" customWidth="1"/>
    <col min="15094" max="15094" width="18.375" style="83" customWidth="1"/>
    <col min="15095" max="15096" width="9" style="83" hidden="1" customWidth="1"/>
    <col min="15097" max="15340" width="9" style="83"/>
    <col min="15341" max="15341" width="6.625" style="83" customWidth="1"/>
    <col min="15342" max="15343" width="21.625" style="83" customWidth="1"/>
    <col min="15344" max="15344" width="16.125" style="83" customWidth="1"/>
    <col min="15345" max="15345" width="13.875" style="83" customWidth="1"/>
    <col min="15346" max="15346" width="17.25" style="83" customWidth="1"/>
    <col min="15347" max="15348" width="20.5" style="83" customWidth="1"/>
    <col min="15349" max="15349" width="9" style="83" hidden="1" customWidth="1"/>
    <col min="15350" max="15350" width="18.375" style="83" customWidth="1"/>
    <col min="15351" max="15352" width="9" style="83" hidden="1" customWidth="1"/>
    <col min="15353" max="15596" width="9" style="83"/>
    <col min="15597" max="15597" width="6.625" style="83" customWidth="1"/>
    <col min="15598" max="15599" width="21.625" style="83" customWidth="1"/>
    <col min="15600" max="15600" width="16.125" style="83" customWidth="1"/>
    <col min="15601" max="15601" width="13.875" style="83" customWidth="1"/>
    <col min="15602" max="15602" width="17.25" style="83" customWidth="1"/>
    <col min="15603" max="15604" width="20.5" style="83" customWidth="1"/>
    <col min="15605" max="15605" width="9" style="83" hidden="1" customWidth="1"/>
    <col min="15606" max="15606" width="18.375" style="83" customWidth="1"/>
    <col min="15607" max="15608" width="9" style="83" hidden="1" customWidth="1"/>
    <col min="15609" max="15852" width="9" style="83"/>
    <col min="15853" max="15853" width="6.625" style="83" customWidth="1"/>
    <col min="15854" max="15855" width="21.625" style="83" customWidth="1"/>
    <col min="15856" max="15856" width="16.125" style="83" customWidth="1"/>
    <col min="15857" max="15857" width="13.875" style="83" customWidth="1"/>
    <col min="15858" max="15858" width="17.25" style="83" customWidth="1"/>
    <col min="15859" max="15860" width="20.5" style="83" customWidth="1"/>
    <col min="15861" max="15861" width="9" style="83" hidden="1" customWidth="1"/>
    <col min="15862" max="15862" width="18.375" style="83" customWidth="1"/>
    <col min="15863" max="15864" width="9" style="83" hidden="1" customWidth="1"/>
    <col min="15865" max="16108" width="9" style="83"/>
    <col min="16109" max="16109" width="6.625" style="83" customWidth="1"/>
    <col min="16110" max="16111" width="21.625" style="83" customWidth="1"/>
    <col min="16112" max="16112" width="16.125" style="83" customWidth="1"/>
    <col min="16113" max="16113" width="13.875" style="83" customWidth="1"/>
    <col min="16114" max="16114" width="17.25" style="83" customWidth="1"/>
    <col min="16115" max="16116" width="20.5" style="83" customWidth="1"/>
    <col min="16117" max="16117" width="9" style="83" hidden="1" customWidth="1"/>
    <col min="16118" max="16118" width="18.375" style="83" customWidth="1"/>
    <col min="16119" max="16120" width="9" style="83" hidden="1" customWidth="1"/>
    <col min="16121" max="16384" width="9" style="83"/>
  </cols>
  <sheetData>
    <row r="1" spans="1:3" ht="30" customHeight="1">
      <c r="A1" s="103" t="s">
        <v>464</v>
      </c>
      <c r="B1" s="104"/>
      <c r="C1" s="104"/>
    </row>
    <row r="2" spans="1:3" ht="35.1" customHeight="1">
      <c r="A2" s="105" t="s">
        <v>470</v>
      </c>
      <c r="B2" s="106"/>
      <c r="C2" s="84" t="s">
        <v>429</v>
      </c>
    </row>
    <row r="3" spans="1:3" s="86" customFormat="1" ht="30" customHeight="1">
      <c r="A3" s="85" t="s">
        <v>1</v>
      </c>
      <c r="B3" s="85" t="s">
        <v>465</v>
      </c>
      <c r="C3" s="85" t="s">
        <v>423</v>
      </c>
    </row>
    <row r="4" spans="1:3" ht="30" customHeight="1">
      <c r="A4" s="87">
        <v>1</v>
      </c>
      <c r="B4" s="85" t="s">
        <v>466</v>
      </c>
      <c r="C4" s="88">
        <f>社区教育!F5</f>
        <v>117348</v>
      </c>
    </row>
    <row r="5" spans="1:3" ht="30" customHeight="1">
      <c r="A5" s="87">
        <v>2</v>
      </c>
      <c r="B5" s="85" t="s">
        <v>467</v>
      </c>
      <c r="C5" s="88">
        <f>残疾就业保障调整!F5</f>
        <v>-3877.2100000000009</v>
      </c>
    </row>
    <row r="6" spans="1:3" ht="30" customHeight="1">
      <c r="A6" s="87">
        <v>3</v>
      </c>
      <c r="B6" s="87" t="s">
        <v>468</v>
      </c>
      <c r="C6" s="88">
        <f>'2025年校舍维修尾款清算'!J9</f>
        <v>-7190.3700000003391</v>
      </c>
    </row>
    <row r="7" spans="1:3" ht="30" customHeight="1">
      <c r="A7" s="87">
        <v>4</v>
      </c>
      <c r="B7" s="85" t="s">
        <v>469</v>
      </c>
      <c r="C7" s="88">
        <f>上划改上解项目清算明细!Q6</f>
        <v>25031527.920000002</v>
      </c>
    </row>
    <row r="8" spans="1:3" ht="30" customHeight="1">
      <c r="A8" s="85"/>
      <c r="B8" s="85" t="s">
        <v>16</v>
      </c>
      <c r="C8" s="89">
        <f>SUM(C4:C7)</f>
        <v>25137808.34</v>
      </c>
    </row>
    <row r="9" spans="1:3" ht="30" customHeight="1"/>
    <row r="10" spans="1:3" ht="30" customHeight="1"/>
  </sheetData>
  <mergeCells count="2">
    <mergeCell ref="A1:C1"/>
    <mergeCell ref="A2:B2"/>
  </mergeCells>
  <phoneticPr fontId="2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F5"/>
  <sheetViews>
    <sheetView workbookViewId="0">
      <selection activeCell="A5" sqref="A5:XFD12"/>
    </sheetView>
  </sheetViews>
  <sheetFormatPr defaultRowHeight="13.5"/>
  <cols>
    <col min="1" max="1" width="23.375" style="40" customWidth="1"/>
    <col min="2" max="2" width="17.25" style="40" customWidth="1"/>
    <col min="3" max="3" width="18.875" style="40" customWidth="1"/>
    <col min="4" max="4" width="17" customWidth="1"/>
    <col min="5" max="5" width="17.875" customWidth="1"/>
    <col min="6" max="6" width="16.125" customWidth="1"/>
  </cols>
  <sheetData>
    <row r="1" spans="1:6" s="38" customFormat="1" ht="30" customHeight="1">
      <c r="A1" s="107" t="s">
        <v>428</v>
      </c>
      <c r="B1" s="107"/>
      <c r="C1" s="107"/>
      <c r="D1" s="108"/>
      <c r="E1" s="108"/>
      <c r="F1" s="108"/>
    </row>
    <row r="2" spans="1:6" s="38" customFormat="1" ht="30" customHeight="1">
      <c r="A2" s="109" t="s">
        <v>429</v>
      </c>
      <c r="B2" s="110"/>
      <c r="C2" s="110"/>
      <c r="D2" s="111"/>
      <c r="E2" s="111"/>
      <c r="F2" s="111"/>
    </row>
    <row r="3" spans="1:6" s="38" customFormat="1" ht="30" customHeight="1">
      <c r="A3" s="39" t="s">
        <v>431</v>
      </c>
      <c r="B3" s="63" t="s">
        <v>432</v>
      </c>
      <c r="C3" s="63" t="s">
        <v>433</v>
      </c>
      <c r="D3" s="63" t="s">
        <v>434</v>
      </c>
      <c r="E3" s="63" t="s">
        <v>435</v>
      </c>
      <c r="F3" s="63" t="s">
        <v>436</v>
      </c>
    </row>
    <row r="4" spans="1:6" s="38" customFormat="1" ht="30" customHeight="1">
      <c r="A4" s="64" t="s">
        <v>390</v>
      </c>
      <c r="B4" s="66">
        <v>102993</v>
      </c>
      <c r="C4" s="39">
        <f t="shared" ref="C4" si="0">B4*3</f>
        <v>308979</v>
      </c>
      <c r="D4" s="66">
        <v>142109</v>
      </c>
      <c r="E4" s="39">
        <f t="shared" ref="E4" si="1">D4*3</f>
        <v>426327</v>
      </c>
      <c r="F4" s="39">
        <f t="shared" ref="F4" si="2">E4-C4</f>
        <v>117348</v>
      </c>
    </row>
    <row r="5" spans="1:6" s="38" customFormat="1" ht="30" customHeight="1">
      <c r="A5" s="65" t="s">
        <v>430</v>
      </c>
      <c r="B5" s="66">
        <f>SUM(B4:B4)</f>
        <v>102993</v>
      </c>
      <c r="C5" s="39">
        <f>SUM(C4:C4)</f>
        <v>308979</v>
      </c>
      <c r="D5" s="66">
        <f>SUM(D4:D4)</f>
        <v>142109</v>
      </c>
      <c r="E5" s="39">
        <f>SUM(E4:E4)</f>
        <v>426327</v>
      </c>
      <c r="F5" s="39">
        <f>SUM(F4:F4)</f>
        <v>117348</v>
      </c>
    </row>
  </sheetData>
  <mergeCells count="2">
    <mergeCell ref="A1:F1"/>
    <mergeCell ref="A2:F2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5" orientation="landscape" r:id="rId1"/>
  <headerFooter>
    <oddFooter>第 &amp;P 页，共 &amp;N 页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F5"/>
  <sheetViews>
    <sheetView workbookViewId="0">
      <selection activeCell="A5" sqref="A5:XFD12"/>
    </sheetView>
  </sheetViews>
  <sheetFormatPr defaultColWidth="27.875" defaultRowHeight="13.5"/>
  <cols>
    <col min="1" max="2" width="27.875" style="47"/>
    <col min="3" max="3" width="10.625" style="47" customWidth="1"/>
    <col min="4" max="4" width="20.875" style="47" customWidth="1"/>
    <col min="5" max="5" width="21.625" style="47" customWidth="1"/>
    <col min="6" max="16384" width="27.875" style="47"/>
  </cols>
  <sheetData>
    <row r="1" spans="1:6" s="41" customFormat="1" ht="30" customHeight="1">
      <c r="A1" s="112" t="s">
        <v>424</v>
      </c>
      <c r="B1" s="113"/>
      <c r="C1" s="113"/>
      <c r="D1" s="114"/>
      <c r="E1" s="115"/>
      <c r="F1" s="115"/>
    </row>
    <row r="2" spans="1:6" s="42" customFormat="1" ht="30" customHeight="1">
      <c r="A2" s="116" t="s">
        <v>391</v>
      </c>
      <c r="B2" s="109"/>
      <c r="C2" s="109"/>
      <c r="D2" s="109"/>
      <c r="E2" s="117"/>
      <c r="F2" s="117"/>
    </row>
    <row r="3" spans="1:6" s="44" customFormat="1" ht="20.100000000000001" customHeight="1">
      <c r="A3" s="43" t="s">
        <v>389</v>
      </c>
      <c r="B3" s="43" t="s">
        <v>392</v>
      </c>
      <c r="C3" s="43" t="s">
        <v>393</v>
      </c>
      <c r="D3" s="43" t="s">
        <v>394</v>
      </c>
      <c r="E3" s="43" t="s">
        <v>422</v>
      </c>
      <c r="F3" s="43" t="s">
        <v>423</v>
      </c>
    </row>
    <row r="4" spans="1:6" s="44" customFormat="1" ht="20.100000000000001" customHeight="1">
      <c r="A4" s="43" t="s">
        <v>395</v>
      </c>
      <c r="B4" s="46" t="s">
        <v>240</v>
      </c>
      <c r="C4" s="46" t="s">
        <v>265</v>
      </c>
      <c r="D4" s="45">
        <v>14798.29</v>
      </c>
      <c r="E4" s="43">
        <v>10921.08</v>
      </c>
      <c r="F4" s="45">
        <f>E4-D4</f>
        <v>-3877.2100000000009</v>
      </c>
    </row>
    <row r="5" spans="1:6" s="44" customFormat="1" ht="20.100000000000001" customHeight="1">
      <c r="A5" s="43" t="s">
        <v>396</v>
      </c>
      <c r="B5" s="46"/>
      <c r="C5" s="46"/>
      <c r="D5" s="45">
        <f>SUM(D4)</f>
        <v>14798.29</v>
      </c>
      <c r="E5" s="45">
        <f t="shared" ref="E5:F5" si="0">SUM(E4)</f>
        <v>10921.08</v>
      </c>
      <c r="F5" s="45">
        <f t="shared" si="0"/>
        <v>-3877.2100000000009</v>
      </c>
    </row>
  </sheetData>
  <mergeCells count="2">
    <mergeCell ref="A1:F1"/>
    <mergeCell ref="A2:F2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95" orientation="landscape" r:id="rId1"/>
  <headerFooter>
    <oddFooter>第 &amp;P 页，共 &amp;N 页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J9"/>
  <sheetViews>
    <sheetView workbookViewId="0">
      <selection activeCell="A5" sqref="A5:XFD12"/>
    </sheetView>
  </sheetViews>
  <sheetFormatPr defaultColWidth="9" defaultRowHeight="14.25"/>
  <cols>
    <col min="1" max="1" width="27" style="54" customWidth="1"/>
    <col min="2" max="2" width="30.75" style="54" customWidth="1"/>
    <col min="3" max="3" width="14.5" style="54" customWidth="1"/>
    <col min="4" max="4" width="15.875" style="54" customWidth="1"/>
    <col min="5" max="5" width="12.125" style="54" customWidth="1"/>
    <col min="6" max="6" width="12.75" style="54" customWidth="1"/>
    <col min="7" max="7" width="11.875" style="54" customWidth="1"/>
    <col min="8" max="8" width="11.5" style="54" customWidth="1"/>
    <col min="9" max="9" width="12.625" style="54" customWidth="1"/>
    <col min="10" max="10" width="14.625" style="55" customWidth="1"/>
    <col min="11" max="16384" width="9" style="54"/>
  </cols>
  <sheetData>
    <row r="1" spans="1:10" s="53" customFormat="1" ht="30" customHeight="1">
      <c r="A1" s="118" t="s">
        <v>425</v>
      </c>
      <c r="B1" s="118"/>
      <c r="C1" s="118"/>
      <c r="D1" s="118"/>
      <c r="E1" s="118"/>
      <c r="F1" s="118"/>
      <c r="G1" s="118"/>
      <c r="H1" s="118"/>
      <c r="I1" s="118"/>
      <c r="J1" s="118"/>
    </row>
    <row r="2" spans="1:10" ht="30" customHeight="1">
      <c r="A2" s="109" t="s">
        <v>404</v>
      </c>
      <c r="B2" s="109"/>
      <c r="C2" s="109"/>
      <c r="D2" s="109"/>
      <c r="E2" s="109"/>
      <c r="F2" s="109"/>
      <c r="G2" s="109"/>
      <c r="H2" s="109"/>
      <c r="I2" s="109"/>
      <c r="J2" s="109"/>
    </row>
    <row r="3" spans="1:10" s="57" customFormat="1" ht="28.5" customHeight="1">
      <c r="A3" s="37" t="s">
        <v>408</v>
      </c>
      <c r="B3" s="37" t="s">
        <v>2</v>
      </c>
      <c r="C3" s="56" t="s">
        <v>426</v>
      </c>
      <c r="D3" s="56" t="s">
        <v>427</v>
      </c>
      <c r="E3" s="61" t="s">
        <v>416</v>
      </c>
      <c r="F3" s="56" t="s">
        <v>417</v>
      </c>
      <c r="G3" s="56" t="s">
        <v>418</v>
      </c>
      <c r="H3" s="56" t="s">
        <v>419</v>
      </c>
      <c r="I3" s="56" t="s">
        <v>420</v>
      </c>
      <c r="J3" s="56" t="s">
        <v>421</v>
      </c>
    </row>
    <row r="4" spans="1:10" s="57" customFormat="1" ht="24.95" customHeight="1">
      <c r="A4" s="62" t="s">
        <v>409</v>
      </c>
      <c r="B4" s="121" t="s">
        <v>410</v>
      </c>
      <c r="C4" s="59">
        <v>820195.2</v>
      </c>
      <c r="D4" s="59">
        <v>714460</v>
      </c>
      <c r="E4" s="120">
        <v>1512587.03</v>
      </c>
      <c r="F4" s="120">
        <v>1503186.63</v>
      </c>
      <c r="G4" s="120">
        <v>195011</v>
      </c>
      <c r="H4" s="120">
        <f>F4+G4</f>
        <v>1698197.63</v>
      </c>
      <c r="I4" s="120">
        <v>1716042.03</v>
      </c>
      <c r="J4" s="120">
        <f>H4-I4</f>
        <v>-17844.40000000014</v>
      </c>
    </row>
    <row r="5" spans="1:10" s="57" customFormat="1" ht="24.95" customHeight="1">
      <c r="A5" s="62" t="s">
        <v>411</v>
      </c>
      <c r="B5" s="121"/>
      <c r="C5" s="59">
        <v>154428</v>
      </c>
      <c r="D5" s="59">
        <v>138348</v>
      </c>
      <c r="E5" s="120"/>
      <c r="F5" s="120"/>
      <c r="G5" s="120"/>
      <c r="H5" s="120"/>
      <c r="I5" s="120"/>
      <c r="J5" s="120"/>
    </row>
    <row r="6" spans="1:10" s="57" customFormat="1" ht="24.95" customHeight="1">
      <c r="A6" s="60" t="s">
        <v>412</v>
      </c>
      <c r="B6" s="121"/>
      <c r="C6" s="59">
        <v>749882.52600986802</v>
      </c>
      <c r="D6" s="59">
        <v>669537.96965166798</v>
      </c>
      <c r="E6" s="120"/>
      <c r="F6" s="120"/>
      <c r="G6" s="120"/>
      <c r="H6" s="120"/>
      <c r="I6" s="120"/>
      <c r="J6" s="120"/>
    </row>
    <row r="7" spans="1:10" s="57" customFormat="1" ht="24.95" customHeight="1">
      <c r="A7" s="119" t="s">
        <v>413</v>
      </c>
      <c r="B7" s="58" t="s">
        <v>414</v>
      </c>
      <c r="C7" s="120">
        <v>2877685.2</v>
      </c>
      <c r="D7" s="59">
        <v>1303415</v>
      </c>
      <c r="E7" s="59">
        <v>1297813</v>
      </c>
      <c r="F7" s="59">
        <v>1294077.21</v>
      </c>
      <c r="G7" s="59">
        <v>119900</v>
      </c>
      <c r="H7" s="59">
        <v>1413977.21</v>
      </c>
      <c r="I7" s="120">
        <v>2659667.2200000002</v>
      </c>
      <c r="J7" s="120">
        <v>10654.029999999801</v>
      </c>
    </row>
    <row r="8" spans="1:10" s="57" customFormat="1" ht="24.95" customHeight="1">
      <c r="A8" s="119"/>
      <c r="B8" s="58" t="s">
        <v>415</v>
      </c>
      <c r="C8" s="120"/>
      <c r="D8" s="59">
        <v>1169570.2</v>
      </c>
      <c r="E8" s="59">
        <v>1130854.22</v>
      </c>
      <c r="F8" s="59">
        <v>1118240.33</v>
      </c>
      <c r="G8" s="59">
        <v>138103.71</v>
      </c>
      <c r="H8" s="59">
        <v>1256344.04</v>
      </c>
      <c r="I8" s="120"/>
      <c r="J8" s="120"/>
    </row>
    <row r="9" spans="1:10" s="57" customFormat="1" ht="24.95" customHeight="1">
      <c r="A9" s="37" t="s">
        <v>390</v>
      </c>
      <c r="B9" s="37"/>
      <c r="C9" s="59"/>
      <c r="D9" s="59"/>
      <c r="E9" s="59"/>
      <c r="F9" s="59"/>
      <c r="G9" s="59"/>
      <c r="H9" s="59"/>
      <c r="I9" s="59"/>
      <c r="J9" s="59">
        <f>SUM(J4:J8)</f>
        <v>-7190.3700000003391</v>
      </c>
    </row>
  </sheetData>
  <mergeCells count="13">
    <mergeCell ref="A1:J1"/>
    <mergeCell ref="A2:J2"/>
    <mergeCell ref="A7:A8"/>
    <mergeCell ref="C7:C8"/>
    <mergeCell ref="I7:I8"/>
    <mergeCell ref="J7:J8"/>
    <mergeCell ref="B4:B6"/>
    <mergeCell ref="E4:E6"/>
    <mergeCell ref="F4:F6"/>
    <mergeCell ref="G4:G6"/>
    <mergeCell ref="H4:H6"/>
    <mergeCell ref="I4:I6"/>
    <mergeCell ref="J4:J6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0" orientation="landscape" r:id="rId1"/>
  <headerFooter>
    <oddFooter>第 &amp;P 页，共 &amp;N 页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G6"/>
  <sheetViews>
    <sheetView workbookViewId="0">
      <selection activeCell="A5" sqref="A5:XFD12"/>
    </sheetView>
  </sheetViews>
  <sheetFormatPr defaultColWidth="9" defaultRowHeight="13.5"/>
  <cols>
    <col min="1" max="1" width="14.375" customWidth="1"/>
    <col min="2" max="2" width="18.625" customWidth="1"/>
    <col min="3" max="3" width="16.375" customWidth="1"/>
    <col min="4" max="4" width="15.75" hidden="1" customWidth="1"/>
    <col min="5" max="5" width="12.625" hidden="1" customWidth="1"/>
    <col min="6" max="6" width="16" customWidth="1"/>
    <col min="7" max="7" width="16.125" customWidth="1"/>
  </cols>
  <sheetData>
    <row r="1" spans="1:7" ht="30" customHeight="1">
      <c r="A1" s="118" t="s">
        <v>462</v>
      </c>
      <c r="B1" s="118"/>
      <c r="C1" s="118"/>
      <c r="D1" s="118"/>
      <c r="E1" s="118"/>
      <c r="F1" s="118"/>
      <c r="G1" s="118"/>
    </row>
    <row r="2" spans="1:7" ht="30" customHeight="1">
      <c r="A2" s="79"/>
      <c r="B2" s="79"/>
      <c r="C2" s="79"/>
      <c r="D2" s="79"/>
      <c r="E2" s="79"/>
      <c r="F2" s="79"/>
      <c r="G2" s="80" t="s">
        <v>461</v>
      </c>
    </row>
    <row r="3" spans="1:7" ht="36.75" customHeight="1">
      <c r="A3" s="68" t="s">
        <v>1</v>
      </c>
      <c r="B3" s="68" t="s">
        <v>437</v>
      </c>
      <c r="C3" s="70" t="s">
        <v>453</v>
      </c>
      <c r="D3" s="70" t="s">
        <v>454</v>
      </c>
      <c r="E3" s="70" t="s">
        <v>455</v>
      </c>
      <c r="F3" s="51" t="s">
        <v>456</v>
      </c>
      <c r="G3" s="51" t="s">
        <v>457</v>
      </c>
    </row>
    <row r="4" spans="1:7" ht="36.75" customHeight="1">
      <c r="A4" s="51">
        <v>1</v>
      </c>
      <c r="B4" s="51" t="s">
        <v>458</v>
      </c>
      <c r="C4" s="73">
        <v>25031527.920000002</v>
      </c>
      <c r="D4" s="73">
        <v>25031527.920000002</v>
      </c>
      <c r="E4" s="74">
        <v>0</v>
      </c>
      <c r="F4" s="73">
        <v>9577450</v>
      </c>
      <c r="G4" s="75">
        <v>15454077.920000002</v>
      </c>
    </row>
    <row r="5" spans="1:7" ht="30" hidden="1" customHeight="1">
      <c r="A5" s="122" t="s">
        <v>459</v>
      </c>
      <c r="B5" s="123"/>
      <c r="C5" s="76" t="e">
        <f>SUM(#REF!)</f>
        <v>#REF!</v>
      </c>
      <c r="D5" s="77"/>
      <c r="E5" s="77"/>
    </row>
    <row r="6" spans="1:7" ht="30" hidden="1" customHeight="1">
      <c r="A6" s="124" t="s">
        <v>460</v>
      </c>
      <c r="B6" s="124"/>
      <c r="C6" s="76" t="e">
        <f>SUM(#REF!)</f>
        <v>#REF!</v>
      </c>
      <c r="D6" s="77"/>
      <c r="E6" s="77"/>
    </row>
  </sheetData>
  <mergeCells count="3">
    <mergeCell ref="A1:G1"/>
    <mergeCell ref="A5:B5"/>
    <mergeCell ref="A6:B6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95" orientation="landscape" r:id="rId1"/>
  <headerFooter>
    <oddFooter>第 &amp;P 页，共 &amp;N 页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1:Q6"/>
  <sheetViews>
    <sheetView workbookViewId="0">
      <selection activeCell="A5" sqref="A5:XFD12"/>
    </sheetView>
  </sheetViews>
  <sheetFormatPr defaultColWidth="9" defaultRowHeight="13.5"/>
  <cols>
    <col min="1" max="1" width="13.625" customWidth="1"/>
    <col min="2" max="2" width="9.5" style="40" customWidth="1"/>
    <col min="3" max="3" width="10.375" style="78" customWidth="1"/>
    <col min="4" max="4" width="10.25" style="40" customWidth="1"/>
    <col min="5" max="5" width="8.375" style="40" customWidth="1"/>
    <col min="6" max="6" width="8" style="40" customWidth="1"/>
    <col min="7" max="7" width="11.375" style="40" customWidth="1"/>
    <col min="8" max="8" width="8.25" style="40" customWidth="1"/>
    <col min="9" max="9" width="11.5" style="40" customWidth="1"/>
    <col min="10" max="10" width="13.375" style="40" customWidth="1"/>
    <col min="11" max="11" width="12.25" customWidth="1"/>
    <col min="12" max="12" width="10.625" style="40" customWidth="1"/>
    <col min="13" max="13" width="10.75" style="40" customWidth="1"/>
    <col min="14" max="14" width="11.125" style="40" customWidth="1"/>
    <col min="15" max="15" width="9.125" customWidth="1"/>
    <col min="16" max="16" width="11.625" customWidth="1"/>
    <col min="17" max="17" width="13.125" customWidth="1"/>
  </cols>
  <sheetData>
    <row r="1" spans="1:17" ht="30" customHeight="1">
      <c r="A1" s="118" t="s">
        <v>463</v>
      </c>
      <c r="B1" s="118"/>
      <c r="C1" s="118"/>
      <c r="D1" s="118"/>
      <c r="E1" s="118"/>
      <c r="F1" s="118"/>
      <c r="G1" s="118"/>
      <c r="H1" s="115"/>
      <c r="I1" s="115"/>
      <c r="J1" s="115"/>
      <c r="K1" s="115"/>
      <c r="L1" s="115"/>
      <c r="M1" s="115"/>
      <c r="N1" s="115"/>
      <c r="O1" s="115"/>
      <c r="P1" s="115"/>
      <c r="Q1" s="115"/>
    </row>
    <row r="2" spans="1:17" ht="30" customHeight="1">
      <c r="A2" s="125" t="s">
        <v>461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</row>
    <row r="3" spans="1:17" ht="44.25" customHeight="1">
      <c r="A3" s="68" t="s">
        <v>437</v>
      </c>
      <c r="B3" s="68" t="s">
        <v>438</v>
      </c>
      <c r="C3" s="69" t="s">
        <v>439</v>
      </c>
      <c r="D3" s="70" t="s">
        <v>440</v>
      </c>
      <c r="E3" s="70" t="s">
        <v>441</v>
      </c>
      <c r="F3" s="68" t="s">
        <v>442</v>
      </c>
      <c r="G3" s="68" t="s">
        <v>443</v>
      </c>
      <c r="H3" s="70" t="s">
        <v>444</v>
      </c>
      <c r="I3" s="68" t="s">
        <v>445</v>
      </c>
      <c r="J3" s="68" t="s">
        <v>446</v>
      </c>
      <c r="K3" s="70" t="s">
        <v>447</v>
      </c>
      <c r="L3" s="68" t="s">
        <v>448</v>
      </c>
      <c r="M3" s="68" t="s">
        <v>449</v>
      </c>
      <c r="N3" s="68" t="s">
        <v>450</v>
      </c>
      <c r="O3" s="70" t="s">
        <v>451</v>
      </c>
      <c r="P3" s="70" t="s">
        <v>452</v>
      </c>
      <c r="Q3" s="70" t="s">
        <v>16</v>
      </c>
    </row>
    <row r="4" spans="1:17" ht="20.100000000000001" customHeight="1">
      <c r="A4" s="68"/>
      <c r="B4" s="51">
        <v>1</v>
      </c>
      <c r="C4" s="71">
        <v>2</v>
      </c>
      <c r="D4" s="51">
        <v>3</v>
      </c>
      <c r="E4" s="51">
        <v>4</v>
      </c>
      <c r="F4" s="51">
        <v>5</v>
      </c>
      <c r="G4" s="51">
        <v>6</v>
      </c>
      <c r="H4" s="51">
        <v>7</v>
      </c>
      <c r="I4" s="51">
        <v>8</v>
      </c>
      <c r="J4" s="51">
        <v>9</v>
      </c>
      <c r="K4" s="51">
        <v>10</v>
      </c>
      <c r="L4" s="51">
        <v>11</v>
      </c>
      <c r="M4" s="51">
        <v>12</v>
      </c>
      <c r="N4" s="51">
        <v>13</v>
      </c>
      <c r="O4" s="51">
        <v>14</v>
      </c>
      <c r="P4" s="51">
        <v>15</v>
      </c>
      <c r="Q4" s="70"/>
    </row>
    <row r="5" spans="1:17" ht="20.100000000000001" customHeight="1">
      <c r="A5" s="51" t="s">
        <v>458</v>
      </c>
      <c r="B5" s="81"/>
      <c r="C5" s="82">
        <v>11276240</v>
      </c>
      <c r="D5" s="81">
        <v>3529680</v>
      </c>
      <c r="E5" s="81">
        <v>5200</v>
      </c>
      <c r="F5" s="81">
        <v>35090</v>
      </c>
      <c r="G5" s="72">
        <v>53524.75</v>
      </c>
      <c r="H5" s="81"/>
      <c r="I5" s="81"/>
      <c r="J5" s="72"/>
      <c r="K5" s="72"/>
      <c r="L5" s="72">
        <v>0</v>
      </c>
      <c r="M5" s="81">
        <v>3675000</v>
      </c>
      <c r="N5" s="72"/>
      <c r="O5" s="81">
        <v>4857647</v>
      </c>
      <c r="P5" s="72">
        <v>1599146.17</v>
      </c>
      <c r="Q5" s="72">
        <f t="shared" ref="Q5:Q6" si="0">SUM(B5:P5)</f>
        <v>25031527.920000002</v>
      </c>
    </row>
    <row r="6" spans="1:17" ht="20.100000000000001" customHeight="1">
      <c r="A6" s="67"/>
      <c r="B6" s="81">
        <f t="shared" ref="B6:P6" si="1">SUM(B5:B5)</f>
        <v>0</v>
      </c>
      <c r="C6" s="82">
        <f t="shared" si="1"/>
        <v>11276240</v>
      </c>
      <c r="D6" s="81">
        <f t="shared" si="1"/>
        <v>3529680</v>
      </c>
      <c r="E6" s="81">
        <f t="shared" si="1"/>
        <v>5200</v>
      </c>
      <c r="F6" s="81">
        <f t="shared" si="1"/>
        <v>35090</v>
      </c>
      <c r="G6" s="72">
        <f t="shared" si="1"/>
        <v>53524.75</v>
      </c>
      <c r="H6" s="81">
        <f t="shared" si="1"/>
        <v>0</v>
      </c>
      <c r="I6" s="81">
        <f t="shared" si="1"/>
        <v>0</v>
      </c>
      <c r="J6" s="72">
        <f t="shared" si="1"/>
        <v>0</v>
      </c>
      <c r="K6" s="72">
        <f t="shared" si="1"/>
        <v>0</v>
      </c>
      <c r="L6" s="72">
        <f t="shared" si="1"/>
        <v>0</v>
      </c>
      <c r="M6" s="81">
        <f t="shared" si="1"/>
        <v>3675000</v>
      </c>
      <c r="N6" s="72">
        <f t="shared" si="1"/>
        <v>0</v>
      </c>
      <c r="O6" s="81">
        <f t="shared" si="1"/>
        <v>4857647</v>
      </c>
      <c r="P6" s="72">
        <f t="shared" si="1"/>
        <v>1599146.17</v>
      </c>
      <c r="Q6" s="72">
        <f t="shared" si="0"/>
        <v>25031527.920000002</v>
      </c>
    </row>
  </sheetData>
  <mergeCells count="2">
    <mergeCell ref="A1:Q1"/>
    <mergeCell ref="A2:Q2"/>
  </mergeCells>
  <phoneticPr fontId="2" type="noConversion"/>
  <printOptions horizontalCentered="1"/>
  <pageMargins left="0.51181102362204722" right="0.51181102362204722" top="0.74803149606299213" bottom="0.74803149606299213" header="0.31496062992125984" footer="0.31496062992125984"/>
  <pageSetup paperSize="9" scale="70" orientation="landscape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17</vt:i4>
      </vt:variant>
      <vt:variant>
        <vt:lpstr>命名范围</vt:lpstr>
      </vt:variant>
      <vt:variant>
        <vt:i4>12</vt:i4>
      </vt:variant>
    </vt:vector>
  </HeadingPairs>
  <TitlesOfParts>
    <vt:vector size="29" baseType="lpstr">
      <vt:lpstr>基本支出</vt:lpstr>
      <vt:lpstr>2025年绩效增量</vt:lpstr>
      <vt:lpstr>莘庄镇</vt:lpstr>
      <vt:lpstr>吴泾镇</vt:lpstr>
      <vt:lpstr>七宝镇</vt:lpstr>
      <vt:lpstr>浦江镇</vt:lpstr>
      <vt:lpstr>梅陇镇</vt:lpstr>
      <vt:lpstr>马桥镇</vt:lpstr>
      <vt:lpstr>华漕镇</vt:lpstr>
      <vt:lpstr>颛桥镇</vt:lpstr>
      <vt:lpstr>虹桥镇</vt:lpstr>
      <vt:lpstr>吴泾</vt:lpstr>
      <vt:lpstr>社区教育</vt:lpstr>
      <vt:lpstr>残疾就业保障调整</vt:lpstr>
      <vt:lpstr>2025年校舍维修尾款清算</vt:lpstr>
      <vt:lpstr>上划改上解项目各镇清算</vt:lpstr>
      <vt:lpstr>上划改上解项目清算明细</vt:lpstr>
      <vt:lpstr>'2025年校舍维修尾款清算'!Print_Area</vt:lpstr>
      <vt:lpstr>残疾就业保障调整!Print_Area</vt:lpstr>
      <vt:lpstr>基本支出!Print_Area</vt:lpstr>
      <vt:lpstr>上划改上解项目各镇清算!Print_Area</vt:lpstr>
      <vt:lpstr>上划改上解项目清算明细!Print_Area</vt:lpstr>
      <vt:lpstr>社区教育!Print_Area</vt:lpstr>
      <vt:lpstr>莘庄镇!Print_Area</vt:lpstr>
      <vt:lpstr>'2025年校舍维修尾款清算'!Print_Titles</vt:lpstr>
      <vt:lpstr>基本支出!Print_Titles</vt:lpstr>
      <vt:lpstr>上划改上解项目各镇清算!Print_Titles</vt:lpstr>
      <vt:lpstr>社区教育!Print_Titles</vt:lpstr>
      <vt:lpstr>莘庄镇!Print_Titles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meng</dc:creator>
  <cp:lastModifiedBy>meng</cp:lastModifiedBy>
  <cp:lastPrinted>2026-10-27T06:32:08Z</cp:lastPrinted>
  <dcterms:created xsi:type="dcterms:W3CDTF">2025-10-28T08:13:22Z</dcterms:created>
  <dcterms:modified xsi:type="dcterms:W3CDTF">2026-10-29T01:12:59Z</dcterms:modified>
</cp:coreProperties>
</file>